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2" windowHeight="9555" tabRatio="687"/>
  </bookViews>
  <sheets>
    <sheet name="X-R控制图" sheetId="4" r:id="rId1"/>
  </sheets>
  <externalReferences>
    <externalReference r:id="rId3"/>
    <externalReference r:id="rId4"/>
  </externalReferences>
  <definedNames>
    <definedName name="_xlnm._FilterDatabase">#REF!</definedName>
    <definedName name="_Order1" hidden="1">255</definedName>
    <definedName name="_xlnm.Criteria">#REF!</definedName>
    <definedName name="_xlnm.Print_Area">#REF!</definedName>
    <definedName name="Print_Area1" localSheetId="0">#REF!</definedName>
    <definedName name="Print_Area1">#REF!</definedName>
    <definedName name="Print_Area11" localSheetId="0">#REF!</definedName>
    <definedName name="Print_Area11">#REF!</definedName>
    <definedName name="Print_Area111" localSheetId="0">#REF!</definedName>
    <definedName name="Print_Area111">#REF!</definedName>
    <definedName name="Print_Area1111" localSheetId="0">#REF!</definedName>
    <definedName name="Print_Area1111">#REF!</definedName>
    <definedName name="Print_Area11111" localSheetId="0">#REF!</definedName>
    <definedName name="Print_Area11111">#REF!</definedName>
    <definedName name="_xlnm.Print_Titles" localSheetId="0">#REF!</definedName>
    <definedName name="_xlnm.Print_Titles">#REF!</definedName>
    <definedName name="Print_Titles1" localSheetId="0">#REF!</definedName>
    <definedName name="Print_Titles1">#REF!</definedName>
    <definedName name="Print_Titles11" localSheetId="0">#REF!</definedName>
    <definedName name="Print_Titles11">#REF!</definedName>
    <definedName name="Print_Titles111" localSheetId="0">#REF!</definedName>
    <definedName name="Print_Titles111">#REF!</definedName>
    <definedName name="Print_Titles1111" localSheetId="0">#REF!</definedName>
    <definedName name="Print_Titles1111">#REF!</definedName>
    <definedName name="Print_Titles11111" localSheetId="0">#REF!</definedName>
    <definedName name="Print_Titles11111">#REF!</definedName>
    <definedName name="台帳に戻る">[1]!台帳に戻る</definedName>
    <definedName name="_xlnm._FilterDatabase" localSheetId="0">#REF!</definedName>
    <definedName name="_xlnm.Criteria" localSheetId="0">#REF!</definedName>
    <definedName name="NUMBERS">'X-R控制图'!$D$53</definedName>
    <definedName name="table">[2]tablexr!$A$2:$D$11</definedName>
    <definedName name="极差上限">'X-R控制图'!$Q$26</definedName>
    <definedName name="极差下限">'X-R控制图'!$AA$26</definedName>
    <definedName name="平均值">OFFSET('X-R控制图'!$C$60,,,,COUNTA('X-R控制图'!$C$60:$Z$60)-COUNTIF('X-R控制图'!$C$60:$Z$60,""))</definedName>
    <definedName name="Language">'X-R控制图'!#REF!</definedName>
    <definedName name="_xlnm.Print_Area" localSheetId="0">'X-R控制图'!$B$2:$AA$48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<sst xmlns="http://schemas.openxmlformats.org/spreadsheetml/2006/main" count="271" uniqueCount="158">
  <si>
    <t>SPC X-R控制图</t>
  </si>
  <si>
    <t>产品
描述</t>
  </si>
  <si>
    <t>客户名称</t>
  </si>
  <si>
    <t>凡谷</t>
  </si>
  <si>
    <t>工程
规范</t>
  </si>
  <si>
    <t>尺寸规范</t>
  </si>
  <si>
    <t>规格上限(USL)</t>
  </si>
  <si>
    <t>样本
描述</t>
  </si>
  <si>
    <t>样本数量</t>
  </si>
  <si>
    <t>记录
描述</t>
  </si>
  <si>
    <t>测试时间</t>
  </si>
  <si>
    <t>测量工具</t>
  </si>
  <si>
    <t>产品名称</t>
  </si>
  <si>
    <t>FG5.864.2230</t>
  </si>
  <si>
    <t>公   差</t>
  </si>
  <si>
    <t>规格下限(LSL)</t>
  </si>
  <si>
    <t>分组数量</t>
  </si>
  <si>
    <t>测试人员</t>
  </si>
  <si>
    <t>/</t>
  </si>
  <si>
    <t>二次元</t>
  </si>
  <si>
    <t xml:space="preserve">      组别
序号</t>
  </si>
  <si>
    <t>1组</t>
  </si>
  <si>
    <t>2组</t>
  </si>
  <si>
    <t>3组</t>
  </si>
  <si>
    <t>4组</t>
  </si>
  <si>
    <t>5组</t>
  </si>
  <si>
    <t>6组</t>
  </si>
  <si>
    <t>7组</t>
  </si>
  <si>
    <t>8组</t>
  </si>
  <si>
    <t>9组</t>
  </si>
  <si>
    <t>10组</t>
  </si>
  <si>
    <t>11组</t>
  </si>
  <si>
    <t>12组</t>
  </si>
  <si>
    <t>13组</t>
  </si>
  <si>
    <t>14组</t>
  </si>
  <si>
    <t>15组</t>
  </si>
  <si>
    <t>16组</t>
  </si>
  <si>
    <t>17组</t>
  </si>
  <si>
    <t>18组</t>
  </si>
  <si>
    <t>19组</t>
  </si>
  <si>
    <t>20组</t>
  </si>
  <si>
    <t>21组</t>
  </si>
  <si>
    <t>22组</t>
  </si>
  <si>
    <t>23组</t>
  </si>
  <si>
    <t>24组</t>
  </si>
  <si>
    <t>25组</t>
  </si>
  <si>
    <t>平均值X管制图</t>
  </si>
  <si>
    <t>项目</t>
  </si>
  <si>
    <t>UCL</t>
  </si>
  <si>
    <t>正态分布图</t>
  </si>
  <si>
    <t>U2σ</t>
  </si>
  <si>
    <t>U1σ</t>
  </si>
  <si>
    <t>规格</t>
  </si>
  <si>
    <t>直方图</t>
  </si>
  <si>
    <t>CL</t>
  </si>
  <si>
    <t>规格中心</t>
  </si>
  <si>
    <t>正态分布数距</t>
  </si>
  <si>
    <t>直方图柱数</t>
  </si>
  <si>
    <t>L1σ</t>
  </si>
  <si>
    <t>规格上限</t>
  </si>
  <si>
    <t>直方图组距</t>
  </si>
  <si>
    <t>时间</t>
  </si>
  <si>
    <t>L2σ</t>
  </si>
  <si>
    <t>规格下限</t>
  </si>
  <si>
    <t>直方图组距数</t>
  </si>
  <si>
    <r>
      <rPr>
        <sz val="11"/>
        <color indexed="53"/>
        <rFont val="宋体"/>
        <charset val="134"/>
        <scheme val="minor"/>
      </rPr>
      <t>均值</t>
    </r>
    <r>
      <rPr>
        <sz val="11"/>
        <color indexed="53"/>
        <rFont val="宋体"/>
        <charset val="0"/>
        <scheme val="minor"/>
      </rPr>
      <t>X</t>
    </r>
  </si>
  <si>
    <t>LCL</t>
  </si>
  <si>
    <t>平均值</t>
  </si>
  <si>
    <t>样本最大值</t>
  </si>
  <si>
    <r>
      <rPr>
        <sz val="11"/>
        <color indexed="48"/>
        <rFont val="宋体"/>
        <charset val="134"/>
        <scheme val="minor"/>
      </rPr>
      <t>极差</t>
    </r>
    <r>
      <rPr>
        <sz val="11"/>
        <color indexed="48"/>
        <rFont val="宋体"/>
        <charset val="0"/>
        <scheme val="minor"/>
      </rPr>
      <t>R</t>
    </r>
  </si>
  <si>
    <t>CP</t>
  </si>
  <si>
    <t>样本最小值</t>
  </si>
  <si>
    <t>平均值X</t>
  </si>
  <si>
    <t>差极值R管制图</t>
  </si>
  <si>
    <t>项 目</t>
  </si>
  <si>
    <t>数量</t>
  </si>
  <si>
    <t>范围</t>
  </si>
  <si>
    <t>界线</t>
  </si>
  <si>
    <t>个数</t>
  </si>
  <si>
    <t>分组数据</t>
  </si>
  <si>
    <t>正态分布</t>
  </si>
  <si>
    <t>规格上下限</t>
  </si>
  <si>
    <t>坐标</t>
  </si>
  <si>
    <t>取样数</t>
  </si>
  <si>
    <t>&lt;3σ</t>
  </si>
  <si>
    <t>分组数</t>
  </si>
  <si>
    <t>&lt;2σ</t>
  </si>
  <si>
    <t>样本总数</t>
  </si>
  <si>
    <t>&lt;1σ</t>
  </si>
  <si>
    <t>&lt;CL</t>
  </si>
  <si>
    <t>控制上限（UCL）</t>
  </si>
  <si>
    <t>&gt;CL</t>
  </si>
  <si>
    <t>中心线（CL）</t>
  </si>
  <si>
    <t>&gt;1σ</t>
  </si>
  <si>
    <t>控制下限（LCL）</t>
  </si>
  <si>
    <t>&gt;2σ</t>
  </si>
  <si>
    <t>σ估计</t>
  </si>
  <si>
    <t>&gt;3σ</t>
  </si>
  <si>
    <t>差极值R</t>
  </si>
  <si>
    <t>系数表</t>
  </si>
  <si>
    <t>CPK等级</t>
  </si>
  <si>
    <t>CPK等级能力</t>
  </si>
  <si>
    <t>CPK等级数值</t>
  </si>
  <si>
    <t>取样N</t>
  </si>
  <si>
    <t>A2</t>
  </si>
  <si>
    <t>D3</t>
  </si>
  <si>
    <t>D4</t>
  </si>
  <si>
    <t>d2</t>
  </si>
  <si>
    <t>A</t>
  </si>
  <si>
    <t>甚为稳定，高度稳定性</t>
  </si>
  <si>
    <t>CPK≥1.33</t>
  </si>
  <si>
    <t>B</t>
  </si>
  <si>
    <t>表示尚佳，要设法维持</t>
  </si>
  <si>
    <t>1.0≤CPK＜1.33</t>
  </si>
  <si>
    <t>C</t>
  </si>
  <si>
    <t>能力不足，有改善必要</t>
  </si>
  <si>
    <t>0.67≤CPK＜1.0</t>
  </si>
  <si>
    <t>平均值R</t>
  </si>
  <si>
    <t>D</t>
  </si>
  <si>
    <t>紧急措施，要全面检讨</t>
  </si>
  <si>
    <r>
      <rPr>
        <sz val="9"/>
        <color theme="1"/>
        <rFont val="宋体"/>
        <charset val="134"/>
      </rPr>
      <t>CPK</t>
    </r>
    <r>
      <rPr>
        <sz val="9"/>
        <color indexed="8"/>
        <rFont val="宋体"/>
        <charset val="134"/>
      </rPr>
      <t>＜</t>
    </r>
    <r>
      <rPr>
        <sz val="9"/>
        <color indexed="8"/>
        <rFont val="Arial"/>
        <charset val="0"/>
      </rPr>
      <t>0.67</t>
    </r>
  </si>
  <si>
    <t>特殊原因</t>
  </si>
  <si>
    <t>X图</t>
  </si>
  <si>
    <t>判断</t>
  </si>
  <si>
    <t>R图</t>
  </si>
  <si>
    <t>典型特殊原因识别准则的汇总</t>
  </si>
  <si>
    <t>制程能力指数</t>
  </si>
  <si>
    <t>制程性能指数</t>
  </si>
  <si>
    <t>一个点远离中心线超过3个标准差；</t>
  </si>
  <si>
    <t>数值</t>
  </si>
  <si>
    <t>预估不良</t>
  </si>
  <si>
    <t>均值X控制图特殊原因判断</t>
  </si>
  <si>
    <t>连续9点位于中心线一侧；</t>
  </si>
  <si>
    <t>σ</t>
  </si>
  <si>
    <t>连续6点上升或下降；</t>
  </si>
  <si>
    <t>Cp</t>
  </si>
  <si>
    <t>Pp</t>
  </si>
  <si>
    <t>连续14点交替上下变化；</t>
  </si>
  <si>
    <t>Cpu</t>
  </si>
  <si>
    <t>Ppu</t>
  </si>
  <si>
    <t>PPK等级</t>
  </si>
  <si>
    <t>E</t>
  </si>
  <si>
    <t>连续3点中有2点落在中心线的距离超过2个标准差（同一侧）；</t>
  </si>
  <si>
    <t>CpL</t>
  </si>
  <si>
    <t>PpL</t>
  </si>
  <si>
    <t>F</t>
  </si>
  <si>
    <t>连续5点中有4点落在中心线的距离超过1个标准差（同一侧）；</t>
  </si>
  <si>
    <t>Cpk</t>
  </si>
  <si>
    <t>Ppk</t>
  </si>
  <si>
    <t>G</t>
  </si>
  <si>
    <t>连续15点排列在中心线1个标准差范围内（任一侧）；</t>
  </si>
  <si>
    <t>PPM</t>
  </si>
  <si>
    <t>H</t>
  </si>
  <si>
    <t>连续8个点距中心线的距离大于1个标准差（任一侧）；</t>
  </si>
  <si>
    <t>下限</t>
  </si>
  <si>
    <t>中心值</t>
  </si>
  <si>
    <t>上限</t>
  </si>
  <si>
    <t>差极值R控制图特殊原因判断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</si>
</sst>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\&quot;#,##0.00;[Red]&quot;\&quot;&quot;\&quot;\!\-#,##0.00"/>
    <numFmt numFmtId="177" formatCode="_ &quot;\&quot;* #,##0_ ;_ &quot;\&quot;* \-#,##0_ ;_ &quot;\&quot;* &quot;-&quot;_ ;_ @_ "/>
    <numFmt numFmtId="178" formatCode="_ &quot;\&quot;* #,##0.00_ ;_ &quot;\&quot;* \-#,##0.00_ ;_ &quot;\&quot;* &quot;-&quot;??_ ;_ @_ "/>
    <numFmt numFmtId="179" formatCode="0.00_)"/>
    <numFmt numFmtId="180" formatCode="_ * #,##0_ ;_ * &quot;\&quot;\!\-#,##0_ ;_ * &quot;-&quot;_ ;_ @_ "/>
    <numFmt numFmtId="181" formatCode="&quot;\&quot;#,##0;[Red]&quot;\&quot;&quot;\&quot;\!\-#,##0"/>
    <numFmt numFmtId="182" formatCode="0.00_);[Red]\(0.00\)"/>
    <numFmt numFmtId="183" formatCode="0&quot;组&quot;"/>
    <numFmt numFmtId="184" formatCode="&quot;X&quot;0"/>
    <numFmt numFmtId="185" formatCode="0.000_ "/>
    <numFmt numFmtId="186" formatCode="0.000&quot;MM&quot;"/>
    <numFmt numFmtId="187" formatCode="&quot;+&quot;0.000&quot;MM&quot;"/>
    <numFmt numFmtId="188" formatCode="&quot;-&quot;0.000&quot;MM&quot;"/>
    <numFmt numFmtId="189" formatCode="0\ &quot;PCS&quot;"/>
    <numFmt numFmtId="190" formatCode="0&quot;PCS&quot;"/>
    <numFmt numFmtId="191" formatCode="0.00_ "/>
    <numFmt numFmtId="192" formatCode="0.000_);[Red]\(0.000\)"/>
    <numFmt numFmtId="193" formatCode="0.000000000_);[Red]\(0.000000000\)"/>
    <numFmt numFmtId="194" formatCode="0.00000000_ "/>
    <numFmt numFmtId="195" formatCode="0.00000000_);[Red]\(0.00000000\)"/>
    <numFmt numFmtId="196" formatCode="0_);[Red]\(0\)"/>
  </numFmts>
  <fonts count="78">
    <font>
      <sz val="12"/>
      <name val="宋体"/>
      <charset val="134"/>
    </font>
    <font>
      <sz val="12"/>
      <color indexed="53"/>
      <name val="宋体"/>
      <charset val="134"/>
    </font>
    <font>
      <sz val="12"/>
      <color indexed="48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0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2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11"/>
      <color indexed="53"/>
      <name val="宋体"/>
      <charset val="134"/>
      <scheme val="minor"/>
    </font>
    <font>
      <sz val="12"/>
      <color indexed="53"/>
      <name val="宋体"/>
      <charset val="134"/>
      <scheme val="minor"/>
    </font>
    <font>
      <sz val="11"/>
      <color indexed="48"/>
      <name val="宋体"/>
      <charset val="134"/>
      <scheme val="minor"/>
    </font>
    <font>
      <sz val="12"/>
      <color indexed="4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indexed="62"/>
      <name val="宋体"/>
      <charset val="134"/>
      <scheme val="minor"/>
    </font>
    <font>
      <i/>
      <sz val="12"/>
      <name val="宋体"/>
      <charset val="134"/>
      <scheme val="minor"/>
    </font>
    <font>
      <b/>
      <sz val="9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color rgb="FF002060"/>
      <name val="宋体"/>
      <charset val="134"/>
      <scheme val="minor"/>
    </font>
    <font>
      <b/>
      <sz val="10"/>
      <color rgb="FF00B050"/>
      <name val="宋体"/>
      <charset val="134"/>
      <scheme val="minor"/>
    </font>
    <font>
      <b/>
      <sz val="14"/>
      <color rgb="FF00B050"/>
      <name val="宋体"/>
      <charset val="134"/>
      <scheme val="minor"/>
    </font>
    <font>
      <b/>
      <sz val="12"/>
      <color rgb="FF00B05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  <scheme val="minor"/>
    </font>
    <font>
      <sz val="10"/>
      <color indexed="48"/>
      <name val="宋体"/>
      <charset val="134"/>
      <scheme val="minor"/>
    </font>
    <font>
      <sz val="9"/>
      <color theme="7" tint="-0.249977111117893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Arial"/>
      <charset val="0"/>
    </font>
    <font>
      <sz val="10"/>
      <color theme="1"/>
      <name val="宋体"/>
      <charset val="134"/>
    </font>
    <font>
      <b/>
      <u/>
      <sz val="10"/>
      <color indexed="16"/>
      <name val="宋体"/>
      <charset val="134"/>
    </font>
    <font>
      <sz val="10"/>
      <color indexed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name val="ｵｸｿ "/>
      <charset val="134"/>
    </font>
    <font>
      <sz val="12"/>
      <name val="夹发砰"/>
      <charset val="134"/>
    </font>
    <font>
      <sz val="11"/>
      <name val="・団"/>
      <charset val="134"/>
    </font>
    <font>
      <u/>
      <sz val="6.75"/>
      <color indexed="12"/>
      <name val="ＭＳ ゴシック"/>
      <charset val="134"/>
    </font>
    <font>
      <sz val="11"/>
      <name val="ＭＳ Ｐゴシック"/>
      <charset val="134"/>
    </font>
    <font>
      <sz val="14"/>
      <name val="System"/>
      <charset val="0"/>
    </font>
    <font>
      <sz val="12"/>
      <name val="Arial"/>
      <charset val="0"/>
    </font>
    <font>
      <sz val="11"/>
      <name val="ＭＳ 明朝"/>
      <charset val="134"/>
    </font>
    <font>
      <b/>
      <sz val="12"/>
      <name val="Arial"/>
      <charset val="0"/>
    </font>
    <font>
      <b/>
      <i/>
      <sz val="16"/>
      <name val="Helv"/>
      <charset val="134"/>
    </font>
    <font>
      <sz val="12"/>
      <name val="ｹﾙﾅﾁﾃｼ"/>
      <charset val="134"/>
    </font>
    <font>
      <sz val="10"/>
      <name val="Arial"/>
      <charset val="0"/>
    </font>
    <font>
      <sz val="10"/>
      <name val="Helvetica"/>
      <charset val="0"/>
    </font>
    <font>
      <sz val="9"/>
      <name val="宋体"/>
      <charset val="134"/>
    </font>
    <font>
      <sz val="10"/>
      <name val="Geneva"/>
      <charset val="0"/>
    </font>
    <font>
      <sz val="11"/>
      <color indexed="53"/>
      <name val="宋体"/>
      <charset val="0"/>
      <scheme val="minor"/>
    </font>
    <font>
      <sz val="11"/>
      <color indexed="48"/>
      <name val="宋体"/>
      <charset val="0"/>
      <scheme val="minor"/>
    </font>
    <font>
      <sz val="9"/>
      <color indexed="8"/>
      <name val="宋体"/>
      <charset val="134"/>
    </font>
    <font>
      <sz val="9"/>
      <color indexed="8"/>
      <name val="Arial"/>
      <charset val="0"/>
    </font>
  </fonts>
  <fills count="2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C4DEBB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80">
    <border>
      <left/>
      <right/>
      <top/>
      <bottom/>
      <diagonal/>
    </border>
    <border>
      <left style="thin">
        <color theme="9" tint="-0.25"/>
      </left>
      <right style="thin">
        <color auto="1"/>
      </right>
      <top style="thin">
        <color theme="9" tint="-0.25"/>
      </top>
      <bottom/>
      <diagonal/>
    </border>
    <border>
      <left style="thin">
        <color auto="1"/>
      </left>
      <right/>
      <top style="thin">
        <color theme="9" tint="-0.25"/>
      </top>
      <bottom style="thin">
        <color auto="1"/>
      </bottom>
      <diagonal/>
    </border>
    <border>
      <left/>
      <right style="thin">
        <color auto="1"/>
      </right>
      <top style="thin">
        <color theme="9" tint="-0.2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-0.25"/>
      </top>
      <bottom/>
      <diagonal/>
    </border>
    <border>
      <left style="thin">
        <color theme="9" tint="-0.25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theme="9" tint="-0.25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theme="9" tint="-0.25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theme="9" tint="-0.25"/>
      </left>
      <right style="thin">
        <color auto="1"/>
      </right>
      <top style="thin">
        <color auto="1"/>
      </top>
      <bottom style="thin">
        <color theme="9" tint="-0.2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-0.25"/>
      </bottom>
      <diagonal/>
    </border>
    <border>
      <left style="thin">
        <color rgb="FF91038F"/>
      </left>
      <right/>
      <top style="thin">
        <color rgb="FF91038F"/>
      </top>
      <bottom/>
      <diagonal/>
    </border>
    <border>
      <left/>
      <right/>
      <top style="thin">
        <color rgb="FF91038F"/>
      </top>
      <bottom/>
      <diagonal/>
    </border>
    <border>
      <left style="thin">
        <color rgb="FF91038F"/>
      </left>
      <right/>
      <top/>
      <bottom/>
      <diagonal/>
    </border>
    <border>
      <left style="thin">
        <color rgb="FF91038F"/>
      </left>
      <right/>
      <top/>
      <bottom style="thin">
        <color rgb="FF91038F"/>
      </bottom>
      <diagonal/>
    </border>
    <border>
      <left/>
      <right/>
      <top/>
      <bottom style="thin">
        <color rgb="FF91038F"/>
      </bottom>
      <diagonal/>
    </border>
    <border>
      <left style="thin">
        <color rgb="FF3366FF"/>
      </left>
      <right/>
      <top style="thin">
        <color rgb="FF3366FF"/>
      </top>
      <bottom/>
      <diagonal/>
    </border>
    <border>
      <left/>
      <right/>
      <top style="thin">
        <color rgb="FF3366FF"/>
      </top>
      <bottom/>
      <diagonal/>
    </border>
    <border>
      <left style="thin">
        <color rgb="FF3366FF"/>
      </left>
      <right/>
      <top/>
      <bottom/>
      <diagonal/>
    </border>
    <border>
      <left style="thin">
        <color rgb="FF3366FF"/>
      </left>
      <right/>
      <top/>
      <bottom style="thin">
        <color rgb="FF3366FF"/>
      </bottom>
      <diagonal/>
    </border>
    <border>
      <left/>
      <right/>
      <top/>
      <bottom style="thin">
        <color rgb="FF3366FF"/>
      </bottom>
      <diagonal/>
    </border>
    <border>
      <left style="thin">
        <color rgb="FF91038F"/>
      </left>
      <right style="thin">
        <color auto="1"/>
      </right>
      <top style="thin">
        <color rgb="FF91038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91038F"/>
      </top>
      <bottom style="thin">
        <color auto="1"/>
      </bottom>
      <diagonal/>
    </border>
    <border>
      <left style="thin">
        <color auto="1"/>
      </left>
      <right/>
      <top style="thin">
        <color rgb="FF91038F"/>
      </top>
      <bottom style="thin">
        <color auto="1"/>
      </bottom>
      <diagonal/>
    </border>
    <border>
      <left/>
      <right/>
      <top style="thin">
        <color rgb="FF91038F"/>
      </top>
      <bottom style="thin">
        <color auto="1"/>
      </bottom>
      <diagonal/>
    </border>
    <border>
      <left style="thin">
        <color rgb="FF91038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7030A0"/>
      </top>
      <bottom style="thin">
        <color auto="1"/>
      </bottom>
      <diagonal/>
    </border>
    <border>
      <left/>
      <right/>
      <top style="thin">
        <color rgb="FF7030A0"/>
      </top>
      <bottom style="thin">
        <color auto="1"/>
      </bottom>
      <diagonal/>
    </border>
    <border>
      <left style="thin">
        <color rgb="FF91038F"/>
      </left>
      <right style="thin">
        <color auto="1"/>
      </right>
      <top style="thin">
        <color auto="1"/>
      </top>
      <bottom style="thin">
        <color rgb="FF91038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91038F"/>
      </bottom>
      <diagonal/>
    </border>
    <border>
      <left style="thin">
        <color auto="1"/>
      </left>
      <right/>
      <top style="thin">
        <color rgb="FF7030A0"/>
      </top>
      <bottom style="thin">
        <color rgb="FF91038F"/>
      </bottom>
      <diagonal/>
    </border>
    <border>
      <left/>
      <right/>
      <top style="thin">
        <color rgb="FF7030A0"/>
      </top>
      <bottom style="thin">
        <color rgb="FF91038F"/>
      </bottom>
      <diagonal/>
    </border>
    <border>
      <left style="thin">
        <color auto="1"/>
      </left>
      <right style="thin">
        <color auto="1"/>
      </right>
      <top style="thin">
        <color theme="9" tint="-0.25"/>
      </top>
      <bottom style="thin">
        <color auto="1"/>
      </bottom>
      <diagonal/>
    </border>
    <border>
      <left/>
      <right style="thin">
        <color rgb="FF7030A0"/>
      </right>
      <top style="thin">
        <color rgb="FF91038F"/>
      </top>
      <bottom style="thin">
        <color auto="1"/>
      </bottom>
      <diagonal/>
    </border>
    <border>
      <left/>
      <right style="thin">
        <color rgb="FF7030A0"/>
      </right>
      <top style="thin">
        <color rgb="FF7030A0"/>
      </top>
      <bottom style="thin">
        <color auto="1"/>
      </bottom>
      <diagonal/>
    </border>
    <border>
      <left/>
      <right style="thin">
        <color rgb="FF7030A0"/>
      </right>
      <top style="thin">
        <color rgb="FF7030A0"/>
      </top>
      <bottom style="thin">
        <color rgb="FF91038F"/>
      </bottom>
      <diagonal/>
    </border>
    <border>
      <left style="thin">
        <color rgb="FF91038F"/>
      </left>
      <right style="thin">
        <color auto="1"/>
      </right>
      <top/>
      <bottom style="thin">
        <color auto="1"/>
      </bottom>
      <diagonal/>
    </border>
    <border>
      <left style="thin">
        <color rgb="FF3366FF"/>
      </left>
      <right style="thin">
        <color auto="1"/>
      </right>
      <top style="thin">
        <color rgb="FF3366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66FF"/>
      </top>
      <bottom style="thin">
        <color auto="1"/>
      </bottom>
      <diagonal/>
    </border>
    <border>
      <left style="thin">
        <color rgb="FF3366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66FF"/>
      </left>
      <right style="thin">
        <color auto="1"/>
      </right>
      <top style="thin">
        <color auto="1"/>
      </top>
      <bottom style="thin">
        <color rgb="FF3366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66FF"/>
      </bottom>
      <diagonal/>
    </border>
    <border>
      <left/>
      <right style="thin">
        <color rgb="FF91038F"/>
      </right>
      <top style="thin">
        <color rgb="FF91038F"/>
      </top>
      <bottom/>
      <diagonal/>
    </border>
    <border>
      <left style="thin">
        <color rgb="FFFF6600"/>
      </left>
      <right/>
      <top style="thin">
        <color rgb="FF91038F"/>
      </top>
      <bottom style="thin">
        <color auto="1"/>
      </bottom>
      <diagonal/>
    </border>
    <border>
      <left/>
      <right style="thin">
        <color auto="1"/>
      </right>
      <top style="thin">
        <color rgb="FF91038F"/>
      </top>
      <bottom style="thin">
        <color auto="1"/>
      </bottom>
      <diagonal/>
    </border>
    <border>
      <left/>
      <right style="thin">
        <color rgb="FF91038F"/>
      </right>
      <top/>
      <bottom/>
      <diagonal/>
    </border>
    <border>
      <left style="thin">
        <color rgb="FFFF66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1038F"/>
      </right>
      <top/>
      <bottom style="thin">
        <color rgb="FF91038F"/>
      </bottom>
      <diagonal/>
    </border>
    <border>
      <left style="thin">
        <color rgb="FFFF6600"/>
      </left>
      <right style="thin">
        <color auto="1"/>
      </right>
      <top style="thin">
        <color auto="1"/>
      </top>
      <bottom style="thin">
        <color rgb="FF91038F"/>
      </bottom>
      <diagonal/>
    </border>
    <border>
      <left/>
      <right style="thin">
        <color theme="9" tint="-0.25"/>
      </right>
      <top style="thin">
        <color theme="9" tint="-0.25"/>
      </top>
      <bottom style="thin">
        <color auto="1"/>
      </bottom>
      <diagonal/>
    </border>
    <border>
      <left/>
      <right style="thin">
        <color theme="9" tint="-0.25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9" tint="-0.25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theme="9" tint="-0.25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9" tint="-0.25"/>
      </right>
      <top style="thin">
        <color auto="1"/>
      </top>
      <bottom style="thin">
        <color theme="9" tint="-0.25"/>
      </bottom>
      <diagonal/>
    </border>
    <border>
      <left style="thin">
        <color auto="1"/>
      </left>
      <right style="thin">
        <color rgb="FF91038F"/>
      </right>
      <top style="thin">
        <color rgb="FF91038F"/>
      </top>
      <bottom style="thin">
        <color auto="1"/>
      </bottom>
      <diagonal/>
    </border>
    <border>
      <left style="thin">
        <color auto="1"/>
      </left>
      <right style="thin">
        <color rgb="FF91038F"/>
      </right>
      <top/>
      <bottom style="thin">
        <color auto="1"/>
      </bottom>
      <diagonal/>
    </border>
    <border>
      <left style="thin">
        <color auto="1"/>
      </left>
      <right style="thin">
        <color rgb="FF91038F"/>
      </right>
      <top/>
      <bottom style="thin">
        <color rgb="FF91038F"/>
      </bottom>
      <diagonal/>
    </border>
    <border>
      <left style="thin">
        <color auto="1"/>
      </left>
      <right style="thin">
        <color rgb="FF3366FF"/>
      </right>
      <top style="thin">
        <color rgb="FF3366FF"/>
      </top>
      <bottom style="thin">
        <color auto="1"/>
      </bottom>
      <diagonal/>
    </border>
    <border>
      <left style="thin">
        <color auto="1"/>
      </left>
      <right style="thin">
        <color rgb="FF3366FF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66FF"/>
      </right>
      <top style="thin">
        <color auto="1"/>
      </top>
      <bottom style="thin">
        <color rgb="FF3366FF"/>
      </bottom>
      <diagonal/>
    </border>
    <border>
      <left/>
      <right style="thin">
        <color rgb="FF91038F"/>
      </right>
      <top style="thin">
        <color rgb="FF91038F"/>
      </top>
      <bottom style="thin">
        <color auto="1"/>
      </bottom>
      <diagonal/>
    </border>
    <border>
      <left style="thin">
        <color auto="1"/>
      </left>
      <right style="thin">
        <color rgb="FF91038F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rgb="FF91038F"/>
      </right>
      <top style="thin">
        <color auto="1"/>
      </top>
      <bottom style="thin">
        <color rgb="FF91038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9" borderId="7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71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8" fillId="0" borderId="73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10" borderId="74" applyNumberFormat="0" applyAlignment="0" applyProtection="0">
      <alignment vertical="center"/>
    </xf>
    <xf numFmtId="0" fontId="50" fillId="11" borderId="75" applyNumberFormat="0" applyAlignment="0" applyProtection="0">
      <alignment vertical="center"/>
    </xf>
    <xf numFmtId="0" fontId="51" fillId="11" borderId="74" applyNumberFormat="0" applyAlignment="0" applyProtection="0">
      <alignment vertical="center"/>
    </xf>
    <xf numFmtId="0" fontId="52" fillId="12" borderId="76" applyNumberFormat="0" applyAlignment="0" applyProtection="0">
      <alignment vertical="center"/>
    </xf>
    <xf numFmtId="0" fontId="53" fillId="0" borderId="77" applyNumberFormat="0" applyFill="0" applyAlignment="0" applyProtection="0">
      <alignment vertical="center"/>
    </xf>
    <xf numFmtId="0" fontId="54" fillId="0" borderId="78" applyNumberFormat="0" applyFill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9" fillId="0" borderId="0"/>
    <xf numFmtId="0" fontId="0" fillId="0" borderId="0"/>
    <xf numFmtId="0" fontId="60" fillId="0" borderId="0"/>
    <xf numFmtId="0" fontId="61" fillId="0" borderId="0"/>
    <xf numFmtId="0" fontId="62" fillId="0" borderId="0" applyNumberFormat="0" applyFill="0" applyBorder="0" applyAlignment="0" applyProtection="0">
      <alignment vertical="top"/>
      <protection locked="0"/>
    </xf>
    <xf numFmtId="176" fontId="63" fillId="0" borderId="0" applyFont="0" applyFill="0" applyBorder="0" applyAlignment="0" applyProtection="0"/>
    <xf numFmtId="0" fontId="64" fillId="0" borderId="0"/>
    <xf numFmtId="41" fontId="59" fillId="0" borderId="0" applyFont="0" applyFill="0" applyBorder="0" applyAlignment="0" applyProtection="0"/>
    <xf numFmtId="177" fontId="59" fillId="0" borderId="0" applyFont="0" applyFill="0" applyBorder="0" applyAlignment="0" applyProtection="0"/>
    <xf numFmtId="178" fontId="59" fillId="0" borderId="0" applyFont="0" applyFill="0" applyBorder="0" applyAlignment="0" applyProtection="0"/>
    <xf numFmtId="0" fontId="65" fillId="0" borderId="0"/>
    <xf numFmtId="0" fontId="66" fillId="0" borderId="0"/>
    <xf numFmtId="0" fontId="67" fillId="0" borderId="79" applyNumberFormat="0" applyAlignment="0" applyProtection="0">
      <alignment horizontal="left" vertical="center"/>
    </xf>
    <xf numFmtId="0" fontId="67" fillId="0" borderId="64">
      <alignment horizontal="left" vertical="center"/>
    </xf>
    <xf numFmtId="179" fontId="68" fillId="0" borderId="0"/>
    <xf numFmtId="9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0" fillId="0" borderId="0"/>
    <xf numFmtId="0" fontId="0" fillId="0" borderId="0"/>
    <xf numFmtId="180" fontId="71" fillId="0" borderId="0" applyFont="0" applyFill="0" applyBorder="0" applyAlignment="0" applyProtection="0"/>
    <xf numFmtId="181" fontId="63" fillId="0" borderId="0" applyFont="0" applyFill="0" applyBorder="0" applyAlignment="0" applyProtection="0"/>
    <xf numFmtId="0" fontId="72" fillId="0" borderId="0"/>
    <xf numFmtId="0" fontId="73" fillId="0" borderId="0"/>
  </cellStyleXfs>
  <cellXfs count="246">
    <xf numFmtId="0" fontId="0" fillId="0" borderId="0" xfId="0"/>
    <xf numFmtId="0" fontId="0" fillId="0" borderId="0" xfId="0" applyProtection="1">
      <protection hidden="1"/>
    </xf>
    <xf numFmtId="182" fontId="0" fillId="0" borderId="0" xfId="0" applyNumberFormat="1" applyFill="1" applyAlignment="1" applyProtection="1">
      <alignment vertical="center"/>
      <protection hidden="1"/>
    </xf>
    <xf numFmtId="182" fontId="1" fillId="0" borderId="0" xfId="0" applyNumberFormat="1" applyFont="1" applyAlignment="1" applyProtection="1">
      <alignment vertical="center"/>
      <protection hidden="1"/>
    </xf>
    <xf numFmtId="182" fontId="2" fillId="0" borderId="0" xfId="0" applyNumberFormat="1" applyFont="1" applyAlignment="1" applyProtection="1">
      <alignment vertical="center"/>
      <protection hidden="1"/>
    </xf>
    <xf numFmtId="182" fontId="0" fillId="0" borderId="0" xfId="0" applyNumberFormat="1" applyAlignment="1" applyProtection="1">
      <alignment vertical="center"/>
      <protection hidden="1"/>
    </xf>
    <xf numFmtId="182" fontId="3" fillId="0" borderId="0" xfId="0" applyNumberFormat="1" applyFont="1" applyAlignment="1" applyProtection="1">
      <alignment vertical="center"/>
      <protection hidden="1"/>
    </xf>
    <xf numFmtId="182" fontId="4" fillId="2" borderId="0" xfId="0" applyNumberFormat="1" applyFont="1" applyFill="1" applyAlignment="1" applyProtection="1">
      <alignment horizontal="center" vertical="center"/>
      <protection hidden="1"/>
    </xf>
    <xf numFmtId="182" fontId="5" fillId="0" borderId="1" xfId="0" applyNumberFormat="1" applyFont="1" applyBorder="1" applyAlignment="1" applyProtection="1">
      <alignment horizontal="center" vertical="center" wrapText="1"/>
      <protection hidden="1"/>
    </xf>
    <xf numFmtId="182" fontId="6" fillId="0" borderId="2" xfId="0" applyNumberFormat="1" applyFont="1" applyBorder="1" applyAlignment="1" applyProtection="1">
      <alignment horizontal="center" vertical="center" wrapText="1"/>
      <protection hidden="1"/>
    </xf>
    <xf numFmtId="182" fontId="6" fillId="0" borderId="3" xfId="0" applyNumberFormat="1" applyFont="1" applyBorder="1" applyAlignment="1" applyProtection="1">
      <alignment vertical="center" wrapText="1"/>
      <protection hidden="1"/>
    </xf>
    <xf numFmtId="182" fontId="6" fillId="0" borderId="2" xfId="0" applyNumberFormat="1" applyFont="1" applyBorder="1" applyAlignment="1" applyProtection="1">
      <alignment horizontal="center" vertical="center" wrapText="1"/>
      <protection locked="0"/>
    </xf>
    <xf numFmtId="182" fontId="6" fillId="0" borderId="3" xfId="0" applyNumberFormat="1" applyFont="1" applyBorder="1" applyAlignment="1" applyProtection="1">
      <alignment horizontal="center" vertical="center" wrapText="1"/>
      <protection locked="0"/>
    </xf>
    <xf numFmtId="182" fontId="5" fillId="0" borderId="4" xfId="0" applyNumberFormat="1" applyFont="1" applyBorder="1" applyAlignment="1" applyProtection="1">
      <alignment horizontal="center" vertical="center" wrapText="1"/>
      <protection hidden="1"/>
    </xf>
    <xf numFmtId="182" fontId="5" fillId="0" borderId="5" xfId="0" applyNumberFormat="1" applyFont="1" applyBorder="1" applyAlignment="1" applyProtection="1">
      <alignment horizontal="center" vertical="center" wrapText="1"/>
      <protection hidden="1"/>
    </xf>
    <xf numFmtId="182" fontId="6" fillId="0" borderId="6" xfId="0" applyNumberFormat="1" applyFont="1" applyBorder="1" applyAlignment="1" applyProtection="1">
      <alignment horizontal="center" vertical="center" wrapText="1"/>
      <protection hidden="1"/>
    </xf>
    <xf numFmtId="182" fontId="6" fillId="0" borderId="7" xfId="0" applyNumberFormat="1" applyFont="1" applyBorder="1" applyAlignment="1" applyProtection="1">
      <alignment vertical="center" wrapText="1"/>
      <protection hidden="1"/>
    </xf>
    <xf numFmtId="182" fontId="6" fillId="0" borderId="6" xfId="0" applyNumberFormat="1" applyFont="1" applyBorder="1" applyAlignment="1" applyProtection="1">
      <alignment horizontal="center" vertical="center" wrapText="1"/>
      <protection locked="0"/>
    </xf>
    <xf numFmtId="182" fontId="6" fillId="0" borderId="7" xfId="0" applyNumberFormat="1" applyFont="1" applyBorder="1" applyAlignment="1" applyProtection="1">
      <alignment horizontal="center" vertical="center" wrapText="1"/>
      <protection locked="0"/>
    </xf>
    <xf numFmtId="182" fontId="5" fillId="0" borderId="8" xfId="0" applyNumberFormat="1" applyFont="1" applyBorder="1" applyAlignment="1" applyProtection="1">
      <alignment horizontal="center" vertical="center" wrapText="1"/>
      <protection hidden="1"/>
    </xf>
    <xf numFmtId="182" fontId="6" fillId="0" borderId="9" xfId="0" applyNumberFormat="1" applyFont="1" applyBorder="1" applyAlignment="1" applyProtection="1">
      <alignment horizontal="center" vertical="center" wrapText="1"/>
      <protection hidden="1"/>
    </xf>
    <xf numFmtId="182" fontId="7" fillId="0" borderId="10" xfId="0" applyNumberFormat="1" applyFont="1" applyBorder="1" applyAlignment="1" applyProtection="1">
      <alignment horizontal="left" vertical="center" wrapText="1"/>
      <protection hidden="1"/>
    </xf>
    <xf numFmtId="183" fontId="6" fillId="0" borderId="9" xfId="0" applyNumberFormat="1" applyFont="1" applyBorder="1" applyAlignment="1" applyProtection="1">
      <alignment horizontal="center" vertical="center"/>
      <protection hidden="1"/>
    </xf>
    <xf numFmtId="182" fontId="6" fillId="0" borderId="9" xfId="0" applyNumberFormat="1" applyFont="1" applyBorder="1" applyAlignment="1" applyProtection="1">
      <alignment horizontal="center" vertical="center"/>
      <protection hidden="1"/>
    </xf>
    <xf numFmtId="184" fontId="3" fillId="0" borderId="11" xfId="0" applyNumberFormat="1" applyFont="1" applyFill="1" applyBorder="1" applyAlignment="1" applyProtection="1">
      <alignment horizontal="center" vertical="center"/>
      <protection hidden="1"/>
    </xf>
    <xf numFmtId="185" fontId="8" fillId="0" borderId="9" xfId="0" applyNumberFormat="1" applyFont="1" applyFill="1" applyBorder="1" applyAlignment="1" applyProtection="1">
      <alignment vertical="center" shrinkToFit="1"/>
      <protection locked="0"/>
    </xf>
    <xf numFmtId="0" fontId="9" fillId="0" borderId="11" xfId="0" applyNumberFormat="1" applyFont="1" applyFill="1" applyBorder="1" applyAlignment="1" applyProtection="1">
      <alignment horizontal="center" vertical="center"/>
      <protection hidden="1"/>
    </xf>
    <xf numFmtId="185" fontId="3" fillId="0" borderId="12" xfId="0" applyNumberFormat="1" applyFont="1" applyFill="1" applyBorder="1" applyAlignment="1" applyProtection="1">
      <alignment vertical="center" shrinkToFit="1"/>
      <protection locked="0"/>
    </xf>
    <xf numFmtId="182" fontId="10" fillId="0" borderId="11" xfId="0" applyNumberFormat="1" applyFont="1" applyBorder="1" applyAlignment="1" applyProtection="1">
      <alignment horizontal="center" vertical="center"/>
      <protection hidden="1"/>
    </xf>
    <xf numFmtId="185" fontId="11" fillId="0" borderId="9" xfId="0" applyNumberFormat="1" applyFont="1" applyBorder="1" applyAlignment="1" applyProtection="1">
      <alignment vertical="center" shrinkToFit="1"/>
      <protection hidden="1"/>
    </xf>
    <xf numFmtId="182" fontId="12" fillId="0" borderId="13" xfId="0" applyNumberFormat="1" applyFont="1" applyBorder="1" applyAlignment="1" applyProtection="1">
      <alignment horizontal="center" vertical="center"/>
      <protection hidden="1"/>
    </xf>
    <xf numFmtId="185" fontId="13" fillId="0" borderId="14" xfId="0" applyNumberFormat="1" applyFont="1" applyBorder="1" applyAlignment="1" applyProtection="1">
      <alignment vertical="center"/>
      <protection hidden="1"/>
    </xf>
    <xf numFmtId="182" fontId="3" fillId="0" borderId="0" xfId="0" applyNumberFormat="1" applyFont="1" applyAlignment="1" applyProtection="1">
      <alignment horizontal="center" vertical="center"/>
      <protection hidden="1"/>
    </xf>
    <xf numFmtId="182" fontId="3" fillId="3" borderId="15" xfId="0" applyNumberFormat="1" applyFont="1" applyFill="1" applyBorder="1" applyAlignment="1" applyProtection="1">
      <alignment vertical="center"/>
      <protection hidden="1"/>
    </xf>
    <xf numFmtId="182" fontId="3" fillId="3" borderId="16" xfId="0" applyNumberFormat="1" applyFont="1" applyFill="1" applyBorder="1" applyAlignment="1" applyProtection="1">
      <alignment vertical="center"/>
      <protection hidden="1"/>
    </xf>
    <xf numFmtId="182" fontId="3" fillId="3" borderId="17" xfId="0" applyNumberFormat="1" applyFont="1" applyFill="1" applyBorder="1" applyAlignment="1" applyProtection="1">
      <alignment vertical="center"/>
      <protection hidden="1"/>
    </xf>
    <xf numFmtId="182" fontId="3" fillId="3" borderId="0" xfId="0" applyNumberFormat="1" applyFont="1" applyFill="1" applyAlignment="1" applyProtection="1">
      <alignment vertical="center"/>
      <protection hidden="1"/>
    </xf>
    <xf numFmtId="182" fontId="3" fillId="3" borderId="18" xfId="0" applyNumberFormat="1" applyFont="1" applyFill="1" applyBorder="1" applyAlignment="1" applyProtection="1">
      <alignment vertical="center"/>
      <protection hidden="1"/>
    </xf>
    <xf numFmtId="182" fontId="3" fillId="3" borderId="19" xfId="0" applyNumberFormat="1" applyFont="1" applyFill="1" applyBorder="1" applyAlignment="1" applyProtection="1">
      <alignment vertical="center"/>
      <protection hidden="1"/>
    </xf>
    <xf numFmtId="182" fontId="3" fillId="4" borderId="20" xfId="0" applyNumberFormat="1" applyFont="1" applyFill="1" applyBorder="1" applyAlignment="1" applyProtection="1">
      <alignment vertical="center"/>
      <protection hidden="1"/>
    </xf>
    <xf numFmtId="182" fontId="3" fillId="4" borderId="21" xfId="0" applyNumberFormat="1" applyFont="1" applyFill="1" applyBorder="1" applyAlignment="1" applyProtection="1">
      <alignment vertical="center"/>
      <protection hidden="1"/>
    </xf>
    <xf numFmtId="182" fontId="3" fillId="4" borderId="22" xfId="0" applyNumberFormat="1" applyFont="1" applyFill="1" applyBorder="1" applyAlignment="1" applyProtection="1">
      <alignment vertical="center"/>
      <protection hidden="1"/>
    </xf>
    <xf numFmtId="182" fontId="3" fillId="4" borderId="0" xfId="0" applyNumberFormat="1" applyFont="1" applyFill="1" applyAlignment="1" applyProtection="1">
      <alignment vertical="center"/>
      <protection hidden="1"/>
    </xf>
    <xf numFmtId="182" fontId="3" fillId="4" borderId="23" xfId="0" applyNumberFormat="1" applyFont="1" applyFill="1" applyBorder="1" applyAlignment="1" applyProtection="1">
      <alignment vertical="center"/>
      <protection hidden="1"/>
    </xf>
    <xf numFmtId="182" fontId="3" fillId="4" borderId="24" xfId="0" applyNumberFormat="1" applyFont="1" applyFill="1" applyBorder="1" applyAlignment="1" applyProtection="1">
      <alignment vertical="center"/>
      <protection hidden="1"/>
    </xf>
    <xf numFmtId="182" fontId="14" fillId="5" borderId="25" xfId="0" applyNumberFormat="1" applyFont="1" applyFill="1" applyBorder="1" applyAlignment="1" applyProtection="1">
      <alignment horizontal="center" vertical="center"/>
      <protection hidden="1"/>
    </xf>
    <xf numFmtId="182" fontId="14" fillId="5" borderId="26" xfId="0" applyNumberFormat="1" applyFont="1" applyFill="1" applyBorder="1" applyAlignment="1" applyProtection="1">
      <alignment horizontal="center" vertical="center"/>
      <protection hidden="1"/>
    </xf>
    <xf numFmtId="182" fontId="9" fillId="5" borderId="27" xfId="0" applyNumberFormat="1" applyFont="1" applyFill="1" applyBorder="1" applyAlignment="1" applyProtection="1">
      <alignment horizontal="center" vertical="center"/>
      <protection hidden="1"/>
    </xf>
    <xf numFmtId="182" fontId="9" fillId="5" borderId="28" xfId="0" applyNumberFormat="1" applyFont="1" applyFill="1" applyBorder="1" applyAlignment="1" applyProtection="1">
      <alignment horizontal="center" vertical="center"/>
      <protection hidden="1"/>
    </xf>
    <xf numFmtId="182" fontId="15" fillId="0" borderId="29" xfId="0" applyNumberFormat="1" applyFont="1" applyBorder="1" applyAlignment="1" applyProtection="1">
      <alignment horizontal="center" vertical="center"/>
      <protection hidden="1"/>
    </xf>
    <xf numFmtId="0" fontId="6" fillId="0" borderId="9" xfId="0" applyNumberFormat="1" applyFont="1" applyBorder="1" applyAlignment="1" applyProtection="1">
      <alignment horizontal="center" vertical="center"/>
      <protection hidden="1"/>
    </xf>
    <xf numFmtId="182" fontId="16" fillId="0" borderId="30" xfId="0" applyNumberFormat="1" applyFont="1" applyBorder="1" applyAlignment="1" applyProtection="1">
      <alignment horizontal="left" vertical="center" indent="1"/>
      <protection hidden="1"/>
    </xf>
    <xf numFmtId="182" fontId="16" fillId="0" borderId="31" xfId="0" applyNumberFormat="1" applyFont="1" applyBorder="1" applyAlignment="1" applyProtection="1">
      <alignment horizontal="left" vertical="center" indent="1"/>
      <protection hidden="1"/>
    </xf>
    <xf numFmtId="182" fontId="15" fillId="0" borderId="32" xfId="0" applyNumberFormat="1" applyFont="1" applyBorder="1" applyAlignment="1" applyProtection="1">
      <alignment horizontal="center" vertical="center"/>
      <protection hidden="1"/>
    </xf>
    <xf numFmtId="0" fontId="6" fillId="0" borderId="33" xfId="0" applyNumberFormat="1" applyFont="1" applyBorder="1" applyAlignment="1" applyProtection="1">
      <alignment horizontal="center" vertical="center"/>
      <protection hidden="1"/>
    </xf>
    <xf numFmtId="182" fontId="16" fillId="0" borderId="34" xfId="0" applyNumberFormat="1" applyFont="1" applyBorder="1" applyAlignment="1" applyProtection="1">
      <alignment horizontal="left" vertical="center" indent="1"/>
      <protection hidden="1"/>
    </xf>
    <xf numFmtId="182" fontId="16" fillId="0" borderId="35" xfId="0" applyNumberFormat="1" applyFont="1" applyBorder="1" applyAlignment="1" applyProtection="1">
      <alignment horizontal="left" vertical="center" indent="1"/>
      <protection hidden="1"/>
    </xf>
    <xf numFmtId="182" fontId="6" fillId="0" borderId="0" xfId="0" applyNumberFormat="1" applyFont="1" applyBorder="1" applyAlignment="1" applyProtection="1">
      <alignment horizontal="center" vertical="center"/>
      <protection hidden="1"/>
    </xf>
    <xf numFmtId="182" fontId="6" fillId="0" borderId="0" xfId="0" applyNumberFormat="1" applyFont="1" applyBorder="1" applyAlignment="1" applyProtection="1">
      <alignment horizontal="left" vertical="center"/>
      <protection hidden="1"/>
    </xf>
    <xf numFmtId="0" fontId="17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 shrinkToFit="1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0" xfId="0" applyNumberFormat="1" applyFont="1" applyFill="1" applyBorder="1" applyAlignment="1" applyProtection="1">
      <alignment horizontal="center"/>
      <protection hidden="1"/>
    </xf>
    <xf numFmtId="0" fontId="18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vertical="center" wrapText="1"/>
      <protection hidden="1"/>
    </xf>
    <xf numFmtId="0" fontId="19" fillId="0" borderId="0" xfId="0" applyFont="1" applyFill="1" applyBorder="1" applyAlignment="1" applyProtection="1">
      <alignment horizontal="right" vertical="center"/>
      <protection hidden="1"/>
    </xf>
    <xf numFmtId="0" fontId="19" fillId="0" borderId="0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NumberFormat="1" applyFont="1" applyFill="1" applyBorder="1" applyAlignment="1" applyProtection="1">
      <alignment horizontal="center" vertical="center"/>
      <protection hidden="1"/>
    </xf>
    <xf numFmtId="182" fontId="0" fillId="0" borderId="0" xfId="0" applyNumberFormat="1" applyFill="1" applyBorder="1" applyAlignment="1" applyProtection="1">
      <alignment vertical="center"/>
      <protection hidden="1"/>
    </xf>
    <xf numFmtId="182" fontId="6" fillId="0" borderId="3" xfId="0" applyNumberFormat="1" applyFont="1" applyBorder="1" applyAlignment="1" applyProtection="1">
      <alignment horizontal="center" vertical="center" wrapText="1"/>
      <protection hidden="1"/>
    </xf>
    <xf numFmtId="186" fontId="6" fillId="0" borderId="36" xfId="0" applyNumberFormat="1" applyFont="1" applyBorder="1" applyAlignment="1" applyProtection="1">
      <alignment horizontal="center" vertical="center" wrapText="1"/>
      <protection locked="0"/>
    </xf>
    <xf numFmtId="186" fontId="6" fillId="0" borderId="36" xfId="0" applyNumberFormat="1" applyFont="1" applyBorder="1" applyAlignment="1" applyProtection="1">
      <alignment vertical="center" wrapText="1"/>
      <protection locked="0"/>
    </xf>
    <xf numFmtId="182" fontId="6" fillId="0" borderId="36" xfId="0" applyNumberFormat="1" applyFont="1" applyBorder="1" applyAlignment="1" applyProtection="1">
      <alignment horizontal="center" vertical="center" wrapText="1"/>
      <protection hidden="1"/>
    </xf>
    <xf numFmtId="186" fontId="6" fillId="0" borderId="36" xfId="0" applyNumberFormat="1" applyFont="1" applyBorder="1" applyAlignment="1" applyProtection="1">
      <alignment horizontal="center" vertical="center" wrapText="1"/>
      <protection hidden="1"/>
    </xf>
    <xf numFmtId="187" fontId="6" fillId="0" borderId="0" xfId="0" applyNumberFormat="1" applyFont="1" applyBorder="1" applyAlignment="1" applyProtection="1">
      <alignment horizontal="center" vertical="center" wrapText="1"/>
      <protection locked="0"/>
    </xf>
    <xf numFmtId="188" fontId="6" fillId="0" borderId="0" xfId="0" applyNumberFormat="1" applyFont="1" applyBorder="1" applyAlignment="1" applyProtection="1">
      <alignment horizontal="center" vertical="center" wrapText="1"/>
      <protection locked="0"/>
    </xf>
    <xf numFmtId="186" fontId="6" fillId="0" borderId="9" xfId="0" applyNumberFormat="1" applyFont="1" applyBorder="1" applyAlignment="1" applyProtection="1">
      <alignment horizontal="center" vertical="center" wrapText="1"/>
      <protection hidden="1"/>
    </xf>
    <xf numFmtId="182" fontId="9" fillId="5" borderId="37" xfId="0" applyNumberFormat="1" applyFont="1" applyFill="1" applyBorder="1" applyAlignment="1" applyProtection="1">
      <alignment horizontal="center" vertical="center"/>
      <protection hidden="1"/>
    </xf>
    <xf numFmtId="182" fontId="3" fillId="2" borderId="16" xfId="0" applyNumberFormat="1" applyFont="1" applyFill="1" applyBorder="1" applyAlignment="1" applyProtection="1">
      <alignment vertical="center"/>
      <protection hidden="1"/>
    </xf>
    <xf numFmtId="182" fontId="16" fillId="0" borderId="38" xfId="0" applyNumberFormat="1" applyFont="1" applyBorder="1" applyAlignment="1" applyProtection="1">
      <alignment horizontal="left" vertical="center" indent="1"/>
      <protection hidden="1"/>
    </xf>
    <xf numFmtId="182" fontId="6" fillId="2" borderId="0" xfId="0" applyNumberFormat="1" applyFont="1" applyFill="1" applyBorder="1" applyAlignment="1" applyProtection="1">
      <alignment vertical="center"/>
      <protection hidden="1"/>
    </xf>
    <xf numFmtId="182" fontId="20" fillId="2" borderId="0" xfId="0" applyNumberFormat="1" applyFont="1" applyFill="1" applyAlignment="1" applyProtection="1">
      <alignment horizontal="center" vertical="top"/>
      <protection hidden="1"/>
    </xf>
    <xf numFmtId="182" fontId="21" fillId="2" borderId="0" xfId="0" applyNumberFormat="1" applyFont="1" applyFill="1" applyBorder="1" applyAlignment="1" applyProtection="1">
      <alignment vertical="top"/>
      <protection hidden="1"/>
    </xf>
    <xf numFmtId="182" fontId="6" fillId="2" borderId="0" xfId="0" applyNumberFormat="1" applyFont="1" applyFill="1" applyAlignment="1" applyProtection="1">
      <alignment vertical="center"/>
      <protection hidden="1"/>
    </xf>
    <xf numFmtId="182" fontId="3" fillId="2" borderId="0" xfId="0" applyNumberFormat="1" applyFont="1" applyFill="1" applyBorder="1" applyAlignment="1" applyProtection="1">
      <alignment vertical="center"/>
      <protection hidden="1"/>
    </xf>
    <xf numFmtId="182" fontId="3" fillId="2" borderId="0" xfId="0" applyNumberFormat="1" applyFont="1" applyFill="1" applyAlignment="1" applyProtection="1">
      <alignment vertical="center"/>
      <protection hidden="1"/>
    </xf>
    <xf numFmtId="182" fontId="16" fillId="0" borderId="39" xfId="0" applyNumberFormat="1" applyFont="1" applyBorder="1" applyAlignment="1" applyProtection="1">
      <alignment horizontal="left" vertical="center" indent="1"/>
      <protection hidden="1"/>
    </xf>
    <xf numFmtId="182" fontId="22" fillId="2" borderId="19" xfId="0" applyNumberFormat="1" applyFont="1" applyFill="1" applyBorder="1" applyAlignment="1" applyProtection="1">
      <alignment horizontal="right" vertical="top"/>
      <protection hidden="1"/>
    </xf>
    <xf numFmtId="182" fontId="8" fillId="2" borderId="19" xfId="0" applyNumberFormat="1" applyFont="1" applyFill="1" applyBorder="1" applyAlignment="1" applyProtection="1">
      <alignment horizontal="center" vertical="top"/>
      <protection hidden="1"/>
    </xf>
    <xf numFmtId="189" fontId="6" fillId="0" borderId="36" xfId="0" applyNumberFormat="1" applyFont="1" applyBorder="1" applyAlignment="1" applyProtection="1">
      <alignment horizontal="center" vertical="center" wrapText="1"/>
      <protection hidden="1"/>
    </xf>
    <xf numFmtId="190" fontId="6" fillId="0" borderId="2" xfId="0" applyNumberFormat="1" applyFont="1" applyBorder="1" applyAlignment="1" applyProtection="1">
      <alignment horizontal="center" vertical="center" wrapText="1"/>
      <protection hidden="1"/>
    </xf>
    <xf numFmtId="190" fontId="6" fillId="0" borderId="3" xfId="0" applyNumberFormat="1" applyFont="1" applyBorder="1" applyAlignment="1" applyProtection="1">
      <alignment horizontal="center" vertical="center" wrapText="1"/>
      <protection hidden="1"/>
    </xf>
    <xf numFmtId="183" fontId="6" fillId="0" borderId="9" xfId="0" applyNumberFormat="1" applyFont="1" applyBorder="1" applyAlignment="1" applyProtection="1">
      <alignment horizontal="center" vertical="center" wrapText="1"/>
      <protection hidden="1"/>
    </xf>
    <xf numFmtId="183" fontId="6" fillId="0" borderId="6" xfId="0" applyNumberFormat="1" applyFont="1" applyBorder="1" applyAlignment="1" applyProtection="1">
      <alignment horizontal="center" vertical="center" wrapText="1"/>
      <protection hidden="1"/>
    </xf>
    <xf numFmtId="183" fontId="6" fillId="0" borderId="7" xfId="0" applyNumberFormat="1" applyFont="1" applyBorder="1" applyAlignment="1" applyProtection="1">
      <alignment horizontal="center" vertical="center" wrapText="1"/>
      <protection hidden="1"/>
    </xf>
    <xf numFmtId="182" fontId="23" fillId="3" borderId="25" xfId="0" applyNumberFormat="1" applyFont="1" applyFill="1" applyBorder="1" applyAlignment="1" applyProtection="1">
      <alignment horizontal="center" vertical="center" wrapText="1"/>
      <protection hidden="1"/>
    </xf>
    <xf numFmtId="182" fontId="23" fillId="3" borderId="26" xfId="0" applyNumberFormat="1" applyFont="1" applyFill="1" applyBorder="1" applyAlignment="1" applyProtection="1">
      <alignment horizontal="center" vertical="center" wrapText="1"/>
      <protection hidden="1"/>
    </xf>
    <xf numFmtId="182" fontId="14" fillId="3" borderId="40" xfId="0" applyNumberFormat="1" applyFont="1" applyFill="1" applyBorder="1" applyAlignment="1" applyProtection="1">
      <alignment horizontal="center" vertical="center" wrapText="1"/>
      <protection hidden="1"/>
    </xf>
    <xf numFmtId="182" fontId="14" fillId="3" borderId="8" xfId="0" applyNumberFormat="1" applyFont="1" applyFill="1" applyBorder="1" applyAlignment="1" applyProtection="1">
      <alignment horizontal="center" vertical="center" wrapText="1"/>
      <protection hidden="1"/>
    </xf>
    <xf numFmtId="182" fontId="6" fillId="3" borderId="29" xfId="0" applyNumberFormat="1" applyFont="1" applyFill="1" applyBorder="1" applyAlignment="1" applyProtection="1">
      <alignment horizontal="center" vertical="center" wrapText="1"/>
      <protection hidden="1"/>
    </xf>
    <xf numFmtId="182" fontId="6" fillId="3" borderId="9" xfId="0" applyNumberFormat="1" applyFont="1" applyFill="1" applyBorder="1" applyAlignment="1" applyProtection="1">
      <alignment horizontal="center" vertical="center" wrapText="1"/>
      <protection hidden="1"/>
    </xf>
    <xf numFmtId="189" fontId="6" fillId="3" borderId="9" xfId="0" applyNumberFormat="1" applyFont="1" applyFill="1" applyBorder="1" applyAlignment="1" applyProtection="1">
      <alignment horizontal="center" vertical="center" wrapText="1"/>
      <protection hidden="1"/>
    </xf>
    <xf numFmtId="185" fontId="6" fillId="3" borderId="9" xfId="0" applyNumberFormat="1" applyFont="1" applyFill="1" applyBorder="1" applyAlignment="1" applyProtection="1">
      <alignment horizontal="center" vertical="center" wrapText="1"/>
      <protection hidden="1"/>
    </xf>
    <xf numFmtId="182" fontId="6" fillId="3" borderId="32" xfId="0" applyNumberFormat="1" applyFont="1" applyFill="1" applyBorder="1" applyAlignment="1" applyProtection="1">
      <alignment horizontal="center" vertical="center" wrapText="1"/>
      <protection hidden="1"/>
    </xf>
    <xf numFmtId="182" fontId="6" fillId="3" borderId="33" xfId="0" applyNumberFormat="1" applyFont="1" applyFill="1" applyBorder="1" applyAlignment="1" applyProtection="1">
      <alignment horizontal="center" vertical="center" wrapText="1"/>
      <protection hidden="1"/>
    </xf>
    <xf numFmtId="185" fontId="6" fillId="3" borderId="33" xfId="0" applyNumberFormat="1" applyFont="1" applyFill="1" applyBorder="1" applyAlignment="1" applyProtection="1">
      <alignment horizontal="center" vertical="center" wrapText="1"/>
      <protection hidden="1"/>
    </xf>
    <xf numFmtId="182" fontId="23" fillId="4" borderId="41" xfId="0" applyNumberFormat="1" applyFont="1" applyFill="1" applyBorder="1" applyAlignment="1" applyProtection="1">
      <alignment horizontal="center" vertical="center" wrapText="1"/>
      <protection hidden="1"/>
    </xf>
    <xf numFmtId="182" fontId="23" fillId="4" borderId="42" xfId="0" applyNumberFormat="1" applyFont="1" applyFill="1" applyBorder="1" applyAlignment="1" applyProtection="1">
      <alignment horizontal="center" vertical="center" wrapText="1"/>
      <protection hidden="1"/>
    </xf>
    <xf numFmtId="182" fontId="14" fillId="4" borderId="43" xfId="0" applyNumberFormat="1" applyFont="1" applyFill="1" applyBorder="1" applyAlignment="1" applyProtection="1">
      <alignment horizontal="center" vertical="center" wrapText="1"/>
      <protection hidden="1"/>
    </xf>
    <xf numFmtId="182" fontId="14" fillId="4" borderId="9" xfId="0" applyNumberFormat="1" applyFont="1" applyFill="1" applyBorder="1" applyAlignment="1" applyProtection="1">
      <alignment horizontal="center" vertical="center" wrapText="1"/>
      <protection hidden="1"/>
    </xf>
    <xf numFmtId="182" fontId="6" fillId="4" borderId="43" xfId="0" applyNumberFormat="1" applyFont="1" applyFill="1" applyBorder="1" applyAlignment="1" applyProtection="1">
      <alignment horizontal="center" vertical="center" wrapText="1"/>
      <protection hidden="1"/>
    </xf>
    <xf numFmtId="182" fontId="6" fillId="4" borderId="9" xfId="0" applyNumberFormat="1" applyFont="1" applyFill="1" applyBorder="1" applyAlignment="1" applyProtection="1">
      <alignment horizontal="center" vertical="center" wrapText="1"/>
      <protection hidden="1"/>
    </xf>
    <xf numFmtId="189" fontId="6" fillId="4" borderId="9" xfId="0" applyNumberFormat="1" applyFont="1" applyFill="1" applyBorder="1" applyAlignment="1" applyProtection="1">
      <alignment horizontal="center" vertical="center" wrapText="1"/>
      <protection hidden="1"/>
    </xf>
    <xf numFmtId="185" fontId="6" fillId="4" borderId="9" xfId="0" applyNumberFormat="1" applyFont="1" applyFill="1" applyBorder="1" applyAlignment="1" applyProtection="1">
      <alignment horizontal="center" vertical="center" wrapText="1"/>
      <protection hidden="1"/>
    </xf>
    <xf numFmtId="182" fontId="6" fillId="4" borderId="44" xfId="0" applyNumberFormat="1" applyFont="1" applyFill="1" applyBorder="1" applyAlignment="1" applyProtection="1">
      <alignment horizontal="center" vertical="center" wrapText="1"/>
      <protection hidden="1"/>
    </xf>
    <xf numFmtId="182" fontId="6" fillId="4" borderId="45" xfId="0" applyNumberFormat="1" applyFont="1" applyFill="1" applyBorder="1" applyAlignment="1" applyProtection="1">
      <alignment horizontal="center" vertical="center" wrapText="1"/>
      <protection hidden="1"/>
    </xf>
    <xf numFmtId="185" fontId="6" fillId="4" borderId="45" xfId="0" applyNumberFormat="1" applyFont="1" applyFill="1" applyBorder="1" applyAlignment="1" applyProtection="1">
      <alignment horizontal="center" vertical="center" wrapText="1"/>
      <protection hidden="1"/>
    </xf>
    <xf numFmtId="182" fontId="3" fillId="2" borderId="46" xfId="0" applyNumberFormat="1" applyFont="1" applyFill="1" applyBorder="1" applyAlignment="1" applyProtection="1">
      <alignment vertical="center"/>
      <protection hidden="1"/>
    </xf>
    <xf numFmtId="182" fontId="3" fillId="5" borderId="16" xfId="0" applyNumberFormat="1" applyFont="1" applyFill="1" applyBorder="1" applyAlignment="1" applyProtection="1">
      <alignment horizontal="center" vertical="center"/>
      <protection hidden="1"/>
    </xf>
    <xf numFmtId="182" fontId="23" fillId="2" borderId="47" xfId="0" applyNumberFormat="1" applyFont="1" applyFill="1" applyBorder="1" applyAlignment="1" applyProtection="1">
      <alignment horizontal="center" vertical="center"/>
      <protection hidden="1"/>
    </xf>
    <xf numFmtId="182" fontId="23" fillId="2" borderId="28" xfId="0" applyNumberFormat="1" applyFont="1" applyFill="1" applyBorder="1" applyAlignment="1" applyProtection="1">
      <alignment horizontal="center" vertical="center"/>
      <protection hidden="1"/>
    </xf>
    <xf numFmtId="182" fontId="23" fillId="2" borderId="48" xfId="0" applyNumberFormat="1" applyFont="1" applyFill="1" applyBorder="1" applyAlignment="1" applyProtection="1">
      <alignment horizontal="center" vertical="center"/>
      <protection hidden="1"/>
    </xf>
    <xf numFmtId="182" fontId="6" fillId="2" borderId="49" xfId="0" applyNumberFormat="1" applyFont="1" applyFill="1" applyBorder="1" applyAlignment="1" applyProtection="1">
      <alignment vertical="center"/>
      <protection hidden="1"/>
    </xf>
    <xf numFmtId="182" fontId="3" fillId="5" borderId="0" xfId="0" applyNumberFormat="1" applyFont="1" applyFill="1" applyBorder="1" applyAlignment="1" applyProtection="1">
      <alignment horizontal="center" vertical="center"/>
      <protection hidden="1"/>
    </xf>
    <xf numFmtId="182" fontId="3" fillId="5" borderId="0" xfId="0" applyNumberFormat="1" applyFont="1" applyFill="1" applyAlignment="1" applyProtection="1">
      <alignment horizontal="center" vertical="center"/>
      <protection hidden="1"/>
    </xf>
    <xf numFmtId="182" fontId="14" fillId="0" borderId="50" xfId="0" applyNumberFormat="1" applyFont="1" applyBorder="1" applyAlignment="1" applyProtection="1">
      <alignment horizontal="center" vertical="center"/>
      <protection hidden="1"/>
    </xf>
    <xf numFmtId="182" fontId="14" fillId="0" borderId="9" xfId="0" applyNumberFormat="1" applyFont="1" applyBorder="1" applyAlignment="1" applyProtection="1">
      <alignment horizontal="center" vertical="center"/>
      <protection hidden="1"/>
    </xf>
    <xf numFmtId="10" fontId="24" fillId="0" borderId="9" xfId="70" applyNumberFormat="1" applyFont="1" applyFill="1" applyBorder="1" applyAlignment="1" applyProtection="1">
      <alignment vertical="center" wrapText="1"/>
      <protection hidden="1"/>
    </xf>
    <xf numFmtId="182" fontId="21" fillId="2" borderId="49" xfId="0" applyNumberFormat="1" applyFont="1" applyFill="1" applyBorder="1" applyAlignment="1" applyProtection="1">
      <alignment horizontal="left" vertical="top"/>
      <protection hidden="1"/>
    </xf>
    <xf numFmtId="0" fontId="5" fillId="0" borderId="50" xfId="70" applyFont="1" applyFill="1" applyBorder="1" applyAlignment="1" applyProtection="1">
      <alignment horizontal="center" vertical="center"/>
      <protection hidden="1"/>
    </xf>
    <xf numFmtId="185" fontId="6" fillId="0" borderId="9" xfId="70" applyNumberFormat="1" applyFont="1" applyFill="1" applyBorder="1" applyAlignment="1" applyProtection="1">
      <alignment horizontal="center" vertical="center"/>
      <protection hidden="1"/>
    </xf>
    <xf numFmtId="10" fontId="25" fillId="6" borderId="9" xfId="70" applyNumberFormat="1" applyFont="1" applyFill="1" applyBorder="1" applyAlignment="1" applyProtection="1">
      <alignment horizontal="center" vertical="center" wrapText="1"/>
      <protection hidden="1"/>
    </xf>
    <xf numFmtId="182" fontId="3" fillId="2" borderId="49" xfId="0" applyNumberFormat="1" applyFont="1" applyFill="1" applyBorder="1" applyAlignment="1" applyProtection="1">
      <alignment vertical="center"/>
      <protection hidden="1"/>
    </xf>
    <xf numFmtId="182" fontId="3" fillId="0" borderId="50" xfId="0" applyNumberFormat="1" applyFont="1" applyBorder="1" applyAlignment="1" applyProtection="1">
      <alignment horizontal="center" vertical="center"/>
      <protection hidden="1"/>
    </xf>
    <xf numFmtId="10" fontId="25" fillId="6" borderId="9" xfId="70" applyNumberFormat="1" applyFont="1" applyFill="1" applyBorder="1" applyAlignment="1" applyProtection="1">
      <alignment vertical="center" wrapText="1"/>
      <protection hidden="1"/>
    </xf>
    <xf numFmtId="10" fontId="24" fillId="0" borderId="9" xfId="70" applyNumberFormat="1" applyFont="1" applyFill="1" applyBorder="1" applyAlignment="1" applyProtection="1">
      <alignment horizontal="center" vertical="center" wrapText="1"/>
      <protection hidden="1"/>
    </xf>
    <xf numFmtId="0" fontId="26" fillId="0" borderId="9" xfId="70" applyFont="1" applyFill="1" applyBorder="1" applyAlignment="1" applyProtection="1">
      <alignment horizontal="center" vertical="center"/>
      <protection hidden="1"/>
    </xf>
    <xf numFmtId="182" fontId="3" fillId="7" borderId="50" xfId="0" applyNumberFormat="1" applyFont="1" applyFill="1" applyBorder="1" applyAlignment="1" applyProtection="1">
      <alignment horizontal="center" vertical="center"/>
      <protection hidden="1"/>
    </xf>
    <xf numFmtId="0" fontId="27" fillId="8" borderId="9" xfId="0" applyNumberFormat="1" applyFont="1" applyFill="1" applyBorder="1" applyAlignment="1" applyProtection="1">
      <alignment horizontal="center" vertical="center"/>
      <protection hidden="1"/>
    </xf>
    <xf numFmtId="182" fontId="22" fillId="2" borderId="51" xfId="0" applyNumberFormat="1" applyFont="1" applyFill="1" applyBorder="1" applyAlignment="1" applyProtection="1">
      <alignment horizontal="left" vertical="top"/>
      <protection hidden="1"/>
    </xf>
    <xf numFmtId="182" fontId="3" fillId="5" borderId="19" xfId="0" applyNumberFormat="1" applyFont="1" applyFill="1" applyBorder="1" applyAlignment="1" applyProtection="1">
      <alignment horizontal="center" vertical="center"/>
      <protection hidden="1"/>
    </xf>
    <xf numFmtId="182" fontId="3" fillId="7" borderId="52" xfId="0" applyNumberFormat="1" applyFont="1" applyFill="1" applyBorder="1" applyAlignment="1" applyProtection="1">
      <alignment horizontal="center" vertical="center"/>
      <protection hidden="1"/>
    </xf>
    <xf numFmtId="0" fontId="27" fillId="8" borderId="33" xfId="0" applyNumberFormat="1" applyFont="1" applyFill="1" applyBorder="1" applyAlignment="1" applyProtection="1">
      <alignment horizontal="center" vertical="center"/>
      <protection hidden="1"/>
    </xf>
    <xf numFmtId="191" fontId="7" fillId="0" borderId="0" xfId="70" applyNumberFormat="1" applyFont="1" applyFill="1" applyBorder="1" applyAlignment="1" applyProtection="1">
      <alignment horizontal="center" vertical="top"/>
      <protection hidden="1"/>
    </xf>
    <xf numFmtId="0" fontId="7" fillId="0" borderId="0" xfId="70" applyFont="1" applyFill="1" applyBorder="1" applyAlignment="1" applyProtection="1">
      <alignment horizontal="center" vertical="top"/>
      <protection hidden="1"/>
    </xf>
    <xf numFmtId="0" fontId="28" fillId="0" borderId="0" xfId="0" applyFont="1" applyAlignment="1" applyProtection="1">
      <alignment horizontal="justify"/>
      <protection hidden="1"/>
    </xf>
    <xf numFmtId="182" fontId="3" fillId="0" borderId="0" xfId="0" applyNumberFormat="1" applyFont="1" applyFill="1" applyBorder="1" applyAlignment="1" applyProtection="1">
      <alignment vertical="center"/>
      <protection hidden="1"/>
    </xf>
    <xf numFmtId="190" fontId="6" fillId="0" borderId="53" xfId="0" applyNumberFormat="1" applyFont="1" applyBorder="1" applyAlignment="1" applyProtection="1">
      <alignment horizontal="center" vertical="center" wrapText="1"/>
      <protection hidden="1"/>
    </xf>
    <xf numFmtId="183" fontId="6" fillId="0" borderId="6" xfId="0" applyNumberFormat="1" applyFont="1" applyBorder="1" applyAlignment="1" applyProtection="1">
      <alignment horizontal="center" vertical="center" wrapText="1"/>
      <protection locked="0"/>
    </xf>
    <xf numFmtId="183" fontId="6" fillId="0" borderId="54" xfId="0" applyNumberFormat="1" applyFont="1" applyBorder="1" applyAlignment="1" applyProtection="1">
      <alignment horizontal="center" vertical="center" wrapText="1"/>
      <protection locked="0"/>
    </xf>
    <xf numFmtId="182" fontId="6" fillId="0" borderId="55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185" fontId="8" fillId="0" borderId="55" xfId="0" applyNumberFormat="1" applyFont="1" applyFill="1" applyBorder="1" applyAlignment="1" applyProtection="1">
      <alignment vertical="center" shrinkToFit="1"/>
      <protection locked="0"/>
    </xf>
    <xf numFmtId="182" fontId="3" fillId="0" borderId="0" xfId="0" applyNumberFormat="1" applyFont="1" applyFill="1" applyAlignment="1" applyProtection="1">
      <alignment vertical="center"/>
      <protection hidden="1"/>
    </xf>
    <xf numFmtId="185" fontId="6" fillId="0" borderId="9" xfId="0" applyNumberFormat="1" applyFont="1" applyBorder="1" applyAlignment="1" applyProtection="1">
      <alignment horizontal="center" vertical="center"/>
      <protection hidden="1"/>
    </xf>
    <xf numFmtId="182" fontId="11" fillId="0" borderId="0" xfId="0" applyNumberFormat="1" applyFont="1" applyAlignment="1" applyProtection="1">
      <alignment vertical="center"/>
      <protection hidden="1"/>
    </xf>
    <xf numFmtId="182" fontId="13" fillId="0" borderId="0" xfId="0" applyNumberFormat="1" applyFont="1" applyAlignment="1" applyProtection="1">
      <alignment vertical="center"/>
      <protection hidden="1"/>
    </xf>
    <xf numFmtId="185" fontId="3" fillId="0" borderId="56" xfId="0" applyNumberFormat="1" applyFont="1" applyFill="1" applyBorder="1" applyAlignment="1" applyProtection="1">
      <alignment vertical="center" shrinkToFit="1"/>
      <protection locked="0"/>
    </xf>
    <xf numFmtId="182" fontId="6" fillId="0" borderId="57" xfId="0" applyNumberFormat="1" applyFont="1" applyBorder="1" applyAlignment="1" applyProtection="1">
      <alignment horizontal="center" vertical="center"/>
      <protection hidden="1"/>
    </xf>
    <xf numFmtId="185" fontId="6" fillId="0" borderId="57" xfId="0" applyNumberFormat="1" applyFont="1" applyBorder="1" applyAlignment="1" applyProtection="1">
      <alignment horizontal="center" vertical="center"/>
      <protection hidden="1"/>
    </xf>
    <xf numFmtId="185" fontId="11" fillId="0" borderId="55" xfId="0" applyNumberFormat="1" applyFont="1" applyBorder="1" applyAlignment="1" applyProtection="1">
      <alignment vertical="center" shrinkToFit="1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185" fontId="13" fillId="0" borderId="58" xfId="0" applyNumberFormat="1" applyFont="1" applyBorder="1" applyAlignment="1" applyProtection="1">
      <alignment vertical="center"/>
      <protection hidden="1"/>
    </xf>
    <xf numFmtId="185" fontId="6" fillId="0" borderId="0" xfId="0" applyNumberFormat="1" applyFont="1" applyBorder="1" applyAlignment="1" applyProtection="1">
      <alignment horizontal="center" vertical="center"/>
      <protection hidden="1"/>
    </xf>
    <xf numFmtId="182" fontId="23" fillId="3" borderId="59" xfId="0" applyNumberFormat="1" applyFont="1" applyFill="1" applyBorder="1" applyAlignment="1" applyProtection="1">
      <alignment horizontal="center" vertical="center" wrapText="1"/>
      <protection hidden="1"/>
    </xf>
    <xf numFmtId="0" fontId="29" fillId="0" borderId="0" xfId="0" applyFont="1" applyFill="1" applyBorder="1" applyAlignment="1" applyProtection="1">
      <alignment horizontal="center" vertical="center"/>
      <protection hidden="1"/>
    </xf>
    <xf numFmtId="182" fontId="14" fillId="3" borderId="60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6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6" fillId="3" borderId="61" xfId="0" applyNumberFormat="1" applyFont="1" applyFill="1" applyBorder="1" applyAlignment="1" applyProtection="1">
      <alignment horizontal="center" vertical="center" wrapText="1"/>
      <protection hidden="1"/>
    </xf>
    <xf numFmtId="182" fontId="23" fillId="4" borderId="62" xfId="0" applyNumberFormat="1" applyFont="1" applyFill="1" applyBorder="1" applyAlignment="1" applyProtection="1">
      <alignment horizontal="center" vertical="center" wrapText="1"/>
      <protection hidden="1"/>
    </xf>
    <xf numFmtId="182" fontId="14" fillId="4" borderId="63" xfId="0" applyNumberFormat="1" applyFont="1" applyFill="1" applyBorder="1" applyAlignment="1" applyProtection="1">
      <alignment horizontal="center" vertical="center" wrapText="1"/>
      <protection hidden="1"/>
    </xf>
    <xf numFmtId="182" fontId="23" fillId="0" borderId="6" xfId="0" applyNumberFormat="1" applyFont="1" applyBorder="1" applyAlignment="1" applyProtection="1">
      <alignment horizontal="center" vertical="center"/>
      <protection hidden="1"/>
    </xf>
    <xf numFmtId="182" fontId="23" fillId="0" borderId="64" xfId="0" applyNumberFormat="1" applyFont="1" applyBorder="1" applyAlignment="1" applyProtection="1">
      <alignment horizontal="center" vertical="center"/>
      <protection hidden="1"/>
    </xf>
    <xf numFmtId="0" fontId="6" fillId="4" borderId="63" xfId="0" applyNumberFormat="1" applyFont="1" applyFill="1" applyBorder="1" applyAlignment="1" applyProtection="1">
      <alignment horizontal="center" vertical="center" wrapText="1"/>
      <protection hidden="1"/>
    </xf>
    <xf numFmtId="192" fontId="6" fillId="0" borderId="9" xfId="0" applyNumberFormat="1" applyFont="1" applyBorder="1" applyAlignment="1" applyProtection="1">
      <alignment horizontal="center" vertical="center"/>
      <protection hidden="1"/>
    </xf>
    <xf numFmtId="193" fontId="3" fillId="0" borderId="0" xfId="0" applyNumberFormat="1" applyFont="1" applyAlignment="1" applyProtection="1">
      <alignment vertical="center"/>
      <protection hidden="1"/>
    </xf>
    <xf numFmtId="0" fontId="6" fillId="4" borderId="65" xfId="0" applyNumberFormat="1" applyFont="1" applyFill="1" applyBorder="1" applyAlignment="1" applyProtection="1">
      <alignment horizontal="center" vertical="center" wrapText="1"/>
      <protection hidden="1"/>
    </xf>
    <xf numFmtId="192" fontId="3" fillId="0" borderId="0" xfId="0" applyNumberFormat="1" applyFont="1" applyBorder="1" applyAlignment="1" applyProtection="1">
      <alignment vertical="center"/>
      <protection hidden="1"/>
    </xf>
    <xf numFmtId="182" fontId="30" fillId="0" borderId="0" xfId="0" applyNumberFormat="1" applyFont="1" applyBorder="1" applyAlignment="1" applyProtection="1">
      <alignment horizontal="center" vertical="center"/>
      <protection hidden="1"/>
    </xf>
    <xf numFmtId="0" fontId="23" fillId="2" borderId="27" xfId="70" applyFont="1" applyFill="1" applyBorder="1" applyAlignment="1" applyProtection="1">
      <alignment horizontal="center" vertical="center"/>
      <protection hidden="1"/>
    </xf>
    <xf numFmtId="0" fontId="23" fillId="2" borderId="28" xfId="70" applyFont="1" applyFill="1" applyBorder="1" applyAlignment="1" applyProtection="1">
      <alignment horizontal="center" vertical="center"/>
      <protection hidden="1"/>
    </xf>
    <xf numFmtId="0" fontId="23" fillId="2" borderId="66" xfId="70" applyFont="1" applyFill="1" applyBorder="1" applyAlignment="1" applyProtection="1">
      <alignment horizontal="center" vertical="center"/>
      <protection hidden="1"/>
    </xf>
    <xf numFmtId="10" fontId="24" fillId="0" borderId="67" xfId="70" applyNumberFormat="1" applyFont="1" applyFill="1" applyBorder="1" applyAlignment="1" applyProtection="1">
      <alignment vertical="center" wrapText="1"/>
      <protection hidden="1"/>
    </xf>
    <xf numFmtId="194" fontId="3" fillId="0" borderId="0" xfId="0" applyNumberFormat="1" applyFont="1" applyAlignment="1" applyProtection="1">
      <alignment vertical="center"/>
      <protection hidden="1"/>
    </xf>
    <xf numFmtId="0" fontId="3" fillId="0" borderId="9" xfId="70" applyFont="1" applyFill="1" applyBorder="1" applyAlignment="1" applyProtection="1">
      <alignment horizontal="center" vertical="center"/>
      <protection hidden="1"/>
    </xf>
    <xf numFmtId="182" fontId="5" fillId="0" borderId="9" xfId="0" applyNumberFormat="1" applyFont="1" applyBorder="1" applyAlignment="1" applyProtection="1">
      <alignment horizontal="center" vertical="center"/>
      <protection hidden="1"/>
    </xf>
    <xf numFmtId="10" fontId="25" fillId="6" borderId="67" xfId="70" applyNumberFormat="1" applyFont="1" applyFill="1" applyBorder="1" applyAlignment="1" applyProtection="1">
      <alignment horizontal="center" vertical="center" wrapText="1"/>
      <protection hidden="1"/>
    </xf>
    <xf numFmtId="195" fontId="3" fillId="0" borderId="0" xfId="0" applyNumberFormat="1" applyFont="1" applyAlignment="1" applyProtection="1">
      <alignment vertical="center"/>
      <protection hidden="1"/>
    </xf>
    <xf numFmtId="192" fontId="3" fillId="0" borderId="9" xfId="0" applyNumberFormat="1" applyFont="1" applyBorder="1" applyAlignment="1" applyProtection="1">
      <alignment horizontal="center" vertical="center"/>
      <protection hidden="1"/>
    </xf>
    <xf numFmtId="0" fontId="30" fillId="0" borderId="9" xfId="0" applyNumberFormat="1" applyFont="1" applyBorder="1" applyAlignment="1" applyProtection="1">
      <alignment horizontal="center" vertical="center"/>
      <protection hidden="1"/>
    </xf>
    <xf numFmtId="182" fontId="3" fillId="0" borderId="9" xfId="0" applyNumberFormat="1" applyFont="1" applyBorder="1" applyAlignment="1" applyProtection="1">
      <alignment horizontal="center" vertical="center"/>
      <protection hidden="1"/>
    </xf>
    <xf numFmtId="10" fontId="25" fillId="6" borderId="67" xfId="70" applyNumberFormat="1" applyFont="1" applyFill="1" applyBorder="1" applyAlignment="1" applyProtection="1">
      <alignment vertical="center" wrapText="1"/>
      <protection hidden="1"/>
    </xf>
    <xf numFmtId="182" fontId="30" fillId="0" borderId="9" xfId="0" applyNumberFormat="1" applyFont="1" applyBorder="1" applyAlignment="1" applyProtection="1">
      <alignment horizontal="center" vertical="center"/>
      <protection hidden="1"/>
    </xf>
    <xf numFmtId="10" fontId="24" fillId="0" borderId="67" xfId="70" applyNumberFormat="1" applyFont="1" applyFill="1" applyBorder="1" applyAlignment="1" applyProtection="1">
      <alignment horizontal="center" vertical="center" wrapText="1"/>
      <protection hidden="1"/>
    </xf>
    <xf numFmtId="182" fontId="30" fillId="0" borderId="68" xfId="0" applyNumberFormat="1" applyFont="1" applyBorder="1" applyAlignment="1" applyProtection="1">
      <alignment horizontal="center" vertical="center"/>
      <protection hidden="1"/>
    </xf>
    <xf numFmtId="0" fontId="26" fillId="0" borderId="67" xfId="70" applyFont="1" applyFill="1" applyBorder="1" applyAlignment="1" applyProtection="1">
      <alignment horizontal="center" vertical="center"/>
      <protection hidden="1"/>
    </xf>
    <xf numFmtId="196" fontId="3" fillId="7" borderId="9" xfId="0" applyNumberFormat="1" applyFont="1" applyFill="1" applyBorder="1" applyAlignment="1" applyProtection="1">
      <alignment horizontal="center" vertical="center"/>
      <protection hidden="1"/>
    </xf>
    <xf numFmtId="196" fontId="27" fillId="6" borderId="67" xfId="0" applyNumberFormat="1" applyFont="1" applyFill="1" applyBorder="1" applyAlignment="1" applyProtection="1">
      <alignment horizontal="center" vertical="center"/>
      <protection hidden="1"/>
    </xf>
    <xf numFmtId="182" fontId="3" fillId="0" borderId="0" xfId="0" applyNumberFormat="1" applyFont="1" applyBorder="1" applyAlignment="1" applyProtection="1">
      <alignment vertical="center"/>
      <protection hidden="1"/>
    </xf>
    <xf numFmtId="196" fontId="3" fillId="7" borderId="33" xfId="0" applyNumberFormat="1" applyFont="1" applyFill="1" applyBorder="1" applyAlignment="1" applyProtection="1">
      <alignment horizontal="center" vertical="center"/>
      <protection hidden="1"/>
    </xf>
    <xf numFmtId="196" fontId="27" fillId="6" borderId="69" xfId="0" applyNumberFormat="1" applyFont="1" applyFill="1" applyBorder="1" applyAlignment="1" applyProtection="1">
      <alignment horizontal="center" vertical="center"/>
      <protection hidden="1"/>
    </xf>
    <xf numFmtId="192" fontId="0" fillId="0" borderId="0" xfId="0" applyNumberFormat="1" applyBorder="1" applyAlignment="1" applyProtection="1">
      <alignment vertical="center"/>
      <protection hidden="1"/>
    </xf>
    <xf numFmtId="182" fontId="0" fillId="0" borderId="0" xfId="0" applyNumberFormat="1" applyBorder="1" applyAlignment="1" applyProtection="1">
      <alignment vertical="center"/>
      <protection hidden="1"/>
    </xf>
    <xf numFmtId="192" fontId="0" fillId="0" borderId="0" xfId="0" applyNumberFormat="1" applyAlignment="1" applyProtection="1">
      <alignment vertical="center"/>
      <protection hidden="1"/>
    </xf>
    <xf numFmtId="185" fontId="6" fillId="0" borderId="7" xfId="0" applyNumberFormat="1" applyFont="1" applyBorder="1" applyAlignment="1" applyProtection="1">
      <alignment horizontal="center" vertical="center"/>
      <protection hidden="1"/>
    </xf>
    <xf numFmtId="185" fontId="7" fillId="0" borderId="0" xfId="0" applyNumberFormat="1" applyFont="1" applyBorder="1" applyAlignment="1" applyProtection="1">
      <alignment horizontal="center" vertical="center"/>
      <protection hidden="1"/>
    </xf>
    <xf numFmtId="182" fontId="23" fillId="0" borderId="7" xfId="0" applyNumberFormat="1" applyFont="1" applyBorder="1" applyAlignment="1" applyProtection="1">
      <alignment horizontal="center" vertical="center"/>
      <protection hidden="1"/>
    </xf>
    <xf numFmtId="192" fontId="6" fillId="0" borderId="0" xfId="0" applyNumberFormat="1" applyFont="1" applyAlignment="1" applyProtection="1">
      <alignment vertical="center"/>
      <protection hidden="1"/>
    </xf>
    <xf numFmtId="191" fontId="31" fillId="0" borderId="9" xfId="50" applyNumberFormat="1" applyFont="1" applyFill="1" applyBorder="1" applyAlignment="1" applyProtection="1">
      <alignment horizontal="center" vertical="center"/>
      <protection hidden="1"/>
    </xf>
    <xf numFmtId="191" fontId="32" fillId="0" borderId="9" xfId="50" applyNumberFormat="1" applyFont="1" applyFill="1" applyBorder="1" applyAlignment="1" applyProtection="1">
      <alignment horizontal="center" vertical="center"/>
      <protection hidden="1"/>
    </xf>
    <xf numFmtId="191" fontId="33" fillId="0" borderId="9" xfId="50" applyNumberFormat="1" applyFont="1" applyFill="1" applyBorder="1" applyAlignment="1" applyProtection="1">
      <alignment vertical="center"/>
      <protection hidden="1"/>
    </xf>
    <xf numFmtId="189" fontId="6" fillId="0" borderId="0" xfId="0" applyNumberFormat="1" applyFont="1" applyBorder="1" applyAlignment="1" applyProtection="1">
      <alignment horizontal="center" vertical="center" wrapText="1"/>
      <protection hidden="1"/>
    </xf>
    <xf numFmtId="185" fontId="6" fillId="0" borderId="0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NumberFormat="1" applyFont="1" applyAlignment="1" applyProtection="1">
      <alignment vertical="center"/>
      <protection hidden="1"/>
    </xf>
    <xf numFmtId="191" fontId="31" fillId="0" borderId="0" xfId="50" applyNumberFormat="1" applyFont="1" applyFill="1" applyBorder="1" applyAlignment="1" applyProtection="1">
      <alignment vertical="center"/>
      <protection hidden="1"/>
    </xf>
    <xf numFmtId="191" fontId="31" fillId="0" borderId="0" xfId="50" applyNumberFormat="1" applyFont="1" applyFill="1" applyBorder="1" applyAlignment="1" applyProtection="1">
      <alignment horizontal="center" vertical="center"/>
      <protection hidden="1"/>
    </xf>
    <xf numFmtId="191" fontId="33" fillId="0" borderId="0" xfId="50" applyNumberFormat="1" applyFont="1" applyFill="1" applyBorder="1" applyAlignment="1" applyProtection="1">
      <alignment vertical="center"/>
      <protection hidden="1"/>
    </xf>
    <xf numFmtId="191" fontId="32" fillId="0" borderId="0" xfId="50" applyNumberFormat="1" applyFont="1" applyFill="1" applyBorder="1" applyAlignment="1" applyProtection="1">
      <alignment horizontal="center" vertical="center"/>
      <protection hidden="1"/>
    </xf>
    <xf numFmtId="0" fontId="34" fillId="0" borderId="0" xfId="0" applyFont="1" applyFill="1" applyBorder="1" applyAlignment="1" applyProtection="1">
      <alignment vertical="center"/>
      <protection hidden="1"/>
    </xf>
    <xf numFmtId="0" fontId="35" fillId="0" borderId="0" xfId="0" applyFont="1" applyFill="1" applyBorder="1" applyAlignment="1" applyProtection="1">
      <alignment vertical="center"/>
      <protection hidden="1"/>
    </xf>
    <xf numFmtId="0" fontId="0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horizontal="center" vertical="center"/>
      <protection hidden="1"/>
    </xf>
    <xf numFmtId="0" fontId="28" fillId="0" borderId="0" xfId="0" applyFont="1" applyFill="1" applyBorder="1" applyAlignment="1" applyProtection="1">
      <alignment vertical="center"/>
      <protection hidden="1"/>
    </xf>
    <xf numFmtId="192" fontId="36" fillId="0" borderId="0" xfId="0" applyNumberFormat="1" applyFont="1" applyFill="1" applyBorder="1" applyAlignment="1" applyProtection="1">
      <alignment vertical="center"/>
      <protection hidden="1"/>
    </xf>
    <xf numFmtId="0" fontId="28" fillId="0" borderId="0" xfId="0" applyFont="1" applyFill="1" applyBorder="1" applyAlignment="1" applyProtection="1">
      <alignment horizontal="center" vertical="center"/>
      <protection hidden="1"/>
    </xf>
    <xf numFmtId="185" fontId="28" fillId="0" borderId="9" xfId="0" applyNumberFormat="1" applyFont="1" applyFill="1" applyBorder="1" applyAlignment="1" applyProtection="1">
      <alignment horizontal="center" vertical="center"/>
      <protection hidden="1"/>
    </xf>
    <xf numFmtId="0" fontId="28" fillId="0" borderId="9" xfId="0" applyFont="1" applyFill="1" applyBorder="1" applyAlignment="1" applyProtection="1">
      <alignment horizontal="center" vertical="center"/>
      <protection hidden="1"/>
    </xf>
    <xf numFmtId="185" fontId="37" fillId="0" borderId="9" xfId="0" applyNumberFormat="1" applyFont="1" applyFill="1" applyBorder="1" applyAlignment="1" applyProtection="1">
      <alignment horizontal="center" vertical="center"/>
      <protection hidden="1"/>
    </xf>
    <xf numFmtId="185" fontId="28" fillId="0" borderId="0" xfId="0" applyNumberFormat="1" applyFont="1" applyFill="1" applyBorder="1" applyAlignment="1" applyProtection="1">
      <alignment horizontal="center" vertical="center"/>
      <protection hidden="1"/>
    </xf>
    <xf numFmtId="0" fontId="35" fillId="0" borderId="9" xfId="0" applyFont="1" applyFill="1" applyBorder="1" applyAlignment="1" applyProtection="1">
      <alignment horizontal="center" vertical="center"/>
      <protection hidden="1"/>
    </xf>
    <xf numFmtId="0" fontId="28" fillId="0" borderId="8" xfId="0" applyFont="1" applyFill="1" applyBorder="1" applyAlignment="1" applyProtection="1">
      <alignment horizontal="center" vertical="center"/>
      <protection hidden="1"/>
    </xf>
    <xf numFmtId="0" fontId="28" fillId="0" borderId="9" xfId="0" applyNumberFormat="1" applyFont="1" applyFill="1" applyBorder="1" applyAlignment="1" applyProtection="1">
      <alignment horizontal="center" vertical="center"/>
      <protection hidden="1"/>
    </xf>
    <xf numFmtId="0" fontId="28" fillId="0" borderId="7" xfId="0" applyNumberFormat="1" applyFont="1" applyFill="1" applyBorder="1" applyAlignment="1" applyProtection="1">
      <alignment horizontal="center" vertical="center"/>
      <protection hidden="1"/>
    </xf>
    <xf numFmtId="0" fontId="28" fillId="0" borderId="0" xfId="0" applyFont="1" applyFill="1" applyAlignment="1" applyProtection="1">
      <alignment vertical="center"/>
      <protection hidden="1"/>
    </xf>
    <xf numFmtId="191" fontId="28" fillId="0" borderId="0" xfId="0" applyNumberFormat="1" applyFont="1" applyFill="1" applyBorder="1" applyAlignment="1" applyProtection="1">
      <alignment horizontal="center" vertical="center"/>
      <protection hidden="1"/>
    </xf>
    <xf numFmtId="0" fontId="38" fillId="0" borderId="0" xfId="0" applyFont="1" applyFill="1" applyBorder="1" applyAlignment="1" applyProtection="1">
      <alignment horizontal="center" vertical="center"/>
      <protection hidden="1"/>
    </xf>
    <xf numFmtId="0" fontId="39" fillId="0" borderId="0" xfId="0" applyFont="1" applyFill="1" applyBorder="1" applyAlignment="1" applyProtection="1">
      <alignment horizontal="center" vertical="center"/>
      <protection hidden="1"/>
    </xf>
    <xf numFmtId="185" fontId="28" fillId="0" borderId="0" xfId="3" applyNumberFormat="1" applyFont="1" applyBorder="1" applyAlignment="1" applyProtection="1">
      <alignment horizontal="center" vertical="center"/>
      <protection hidden="1"/>
    </xf>
    <xf numFmtId="191" fontId="34" fillId="0" borderId="0" xfId="0" applyNumberFormat="1" applyFont="1" applyFill="1" applyBorder="1" applyAlignment="1" applyProtection="1">
      <alignment vertical="center"/>
      <protection hidden="1"/>
    </xf>
    <xf numFmtId="182" fontId="0" fillId="0" borderId="9" xfId="0" applyNumberFormat="1" applyBorder="1" applyAlignment="1" applyProtection="1">
      <alignment vertical="center"/>
      <protection hidden="1"/>
    </xf>
    <xf numFmtId="185" fontId="37" fillId="0" borderId="57" xfId="0" applyNumberFormat="1" applyFont="1" applyFill="1" applyBorder="1" applyAlignment="1" applyProtection="1">
      <alignment horizontal="center" vertical="center"/>
      <protection hidden="1"/>
    </xf>
    <xf numFmtId="185" fontId="28" fillId="0" borderId="57" xfId="0" applyNumberFormat="1" applyFont="1" applyFill="1" applyBorder="1" applyAlignment="1" applyProtection="1">
      <alignment horizontal="center" vertical="center"/>
      <protection hidden="1"/>
    </xf>
    <xf numFmtId="182" fontId="0" fillId="0" borderId="57" xfId="0" applyNumberFormat="1" applyBorder="1" applyAlignment="1" applyProtection="1">
      <alignment vertical="center"/>
      <protection hidden="1"/>
    </xf>
    <xf numFmtId="185" fontId="37" fillId="0" borderId="0" xfId="0" applyNumberFormat="1" applyFont="1" applyFill="1" applyBorder="1" applyAlignment="1" applyProtection="1">
      <alignment horizontal="center" vertical="center"/>
      <protection hidden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ﾇ･ﾁﾘ_ｰ霾ｹ" xfId="49"/>
    <cellStyle name="常规_Receiver FAI黑色" xfId="50"/>
    <cellStyle name="一般_实验室   厚度规 " xfId="51"/>
    <cellStyle name="標準_10月・殿" xfId="52"/>
    <cellStyle name="ハイパーリンク_コンタクトダイレクトリー" xfId="53"/>
    <cellStyle name="通貨 [0.00]_PERSONAL" xfId="54"/>
    <cellStyle name="oft Excel]&#10;&#13;Comment=open=/f を指定すると、ユーザー定義関数を関数貼り付けの一覧に登録することができます。&#10;&#13;Maximized" xfId="55"/>
    <cellStyle name="ﾄﾞｸｶ [0]_ｰ霾ｹ" xfId="56"/>
    <cellStyle name="ﾅ・ｭ [0]_ｰ霾ｹ" xfId="57"/>
    <cellStyle name="ﾅ・ｭ_ｰ霾ｹ" xfId="58"/>
    <cellStyle name="Normal_CCAR Master" xfId="59"/>
    <cellStyle name="桁区切り [0.00]_PERSONAL" xfId="60"/>
    <cellStyle name="Header1" xfId="61"/>
    <cellStyle name="Header2" xfId="62"/>
    <cellStyle name="Normal - Style1" xfId="63"/>
    <cellStyle name="ｹ鮗ﾐﾀｲ_ｰ豼ｵﾁ･" xfId="64"/>
    <cellStyle name="ﾄﾞｸｶ_ｰ霾ｹ" xfId="65"/>
    <cellStyle name="常规 2" xfId="66"/>
    <cellStyle name="常规 3" xfId="67"/>
    <cellStyle name="桁区切り_PERSONAL" xfId="68"/>
    <cellStyle name="通貨_PERSONAL" xfId="69"/>
    <cellStyle name="Normal_ESStatDevelopment" xfId="70"/>
    <cellStyle name="Normal_Data Sheet" xfId="7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b val="1"/>
        <i val="0"/>
        <color rgb="FFFF0000"/>
      </font>
      <fill>
        <patternFill patternType="solid">
          <bgColor theme="8" tint="0.799981688894314"/>
        </patternFill>
      </fill>
    </dxf>
  </dxfs>
  <tableStyles count="0" defaultTableStyle="TableStyleMedium2" defaultPivotStyle="PivotStyleLight16"/>
  <colors>
    <mruColors>
      <color rgb="00FF6600"/>
      <color rgb="003366FF"/>
      <color rgb="00FFFFFF"/>
      <color rgb="0010101C"/>
      <color rgb="0091038F"/>
      <color rgb="00FDE9D9"/>
      <color rgb="00C4DEBB"/>
      <color rgb="00DCE6F2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67448200654307"/>
          <c:y val="0.108234646103002"/>
          <c:w val="0.878203380588877"/>
          <c:h val="0.765629303222253"/>
        </c:manualLayout>
      </c:layout>
      <c:lineChart>
        <c:grouping val="standard"/>
        <c:varyColors val="0"/>
        <c:ser>
          <c:idx val="0"/>
          <c:order val="0"/>
          <c:tx>
            <c:strRef>
              <c:f>'X-R控制图'!$B$15</c:f>
              <c:strCache>
                <c:ptCount val="1"/>
                <c:pt idx="0">
                  <c:v>均值X</c:v>
                </c:pt>
              </c:strCache>
            </c:strRef>
          </c:tx>
          <c:spPr>
            <a:ln w="25400" cap="rnd" cmpd="sng" algn="ctr">
              <a:solidFill>
                <a:srgbClr val="002060"/>
              </a:solidFill>
              <a:prstDash val="solid"/>
              <a:round/>
            </a:ln>
            <a:sp3d contourW="25400"/>
          </c:spPr>
          <c:marker>
            <c:symbol val="x"/>
            <c:size val="5"/>
            <c:spPr>
              <a:ln w="15875" cap="flat" cmpd="sng" algn="ctr">
                <a:solidFill>
                  <a:srgbClr val="91038F"/>
                </a:solidFill>
                <a:prstDash val="solid"/>
                <a:round/>
              </a:ln>
            </c:spPr>
          </c:marker>
          <c:dLbls>
            <c:delete val="1"/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'X-R控制图'!$C$15:$AA$15</c:f>
              <c:numCache>
                <c:formatCode>0.000_ </c:formatCode>
                <c:ptCount val="25"/>
                <c:pt idx="0">
                  <c:v>1.673</c:v>
                </c:pt>
                <c:pt idx="1">
                  <c:v>1.6766</c:v>
                </c:pt>
                <c:pt idx="2">
                  <c:v>1.6726</c:v>
                </c:pt>
                <c:pt idx="3">
                  <c:v>1.6764</c:v>
                </c:pt>
                <c:pt idx="4">
                  <c:v>1.6754</c:v>
                </c:pt>
                <c:pt idx="5">
                  <c:v>1.6792</c:v>
                </c:pt>
                <c:pt idx="6">
                  <c:v>1.68</c:v>
                </c:pt>
                <c:pt idx="7">
                  <c:v>1.6772</c:v>
                </c:pt>
                <c:pt idx="8">
                  <c:v>1.6736</c:v>
                </c:pt>
                <c:pt idx="9">
                  <c:v>1.6754</c:v>
                </c:pt>
                <c:pt idx="10">
                  <c:v>1.6766</c:v>
                </c:pt>
                <c:pt idx="11">
                  <c:v>1.6792</c:v>
                </c:pt>
                <c:pt idx="12">
                  <c:v>1.679</c:v>
                </c:pt>
                <c:pt idx="13">
                  <c:v>1.677</c:v>
                </c:pt>
                <c:pt idx="14">
                  <c:v>1.679</c:v>
                </c:pt>
                <c:pt idx="15">
                  <c:v>1.6726</c:v>
                </c:pt>
                <c:pt idx="16">
                  <c:v>1.676</c:v>
                </c:pt>
                <c:pt idx="17">
                  <c:v>1.6732</c:v>
                </c:pt>
                <c:pt idx="18">
                  <c:v>1.6748</c:v>
                </c:pt>
                <c:pt idx="19">
                  <c:v>1.6744</c:v>
                </c:pt>
                <c:pt idx="20">
                  <c:v>1.6734</c:v>
                </c:pt>
                <c:pt idx="21">
                  <c:v>1.6764</c:v>
                </c:pt>
                <c:pt idx="22">
                  <c:v>1.6726</c:v>
                </c:pt>
                <c:pt idx="23">
                  <c:v>1.6724</c:v>
                </c:pt>
                <c:pt idx="24">
                  <c:v>1.6704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'X-R控制图'!$AE$9</c:f>
              <c:strCache>
                <c:ptCount val="1"/>
                <c:pt idx="0">
                  <c:v>UCL</c:v>
                </c:pt>
              </c:strCache>
            </c:strRef>
          </c:tx>
          <c:spPr>
            <a:ln w="9525" cap="rnd" cmpd="sng" algn="ctr">
              <a:solidFill>
                <a:srgbClr val="FF0000"/>
              </a:solidFill>
              <a:prstDash val="solid"/>
              <a:round/>
            </a:ln>
            <a:sp3d contourW="9525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'X-R控制图'!$AF$9:$BD$9</c:f>
              <c:numCache>
                <c:formatCode>0.000_ </c:formatCode>
                <c:ptCount val="25"/>
                <c:pt idx="0">
                  <c:v>1.68256464</c:v>
                </c:pt>
                <c:pt idx="1">
                  <c:v>1.68256464</c:v>
                </c:pt>
                <c:pt idx="2">
                  <c:v>1.68256464</c:v>
                </c:pt>
                <c:pt idx="3">
                  <c:v>1.68256464</c:v>
                </c:pt>
                <c:pt idx="4">
                  <c:v>1.68256464</c:v>
                </c:pt>
                <c:pt idx="5">
                  <c:v>1.68256464</c:v>
                </c:pt>
                <c:pt idx="6">
                  <c:v>1.68256464</c:v>
                </c:pt>
                <c:pt idx="7">
                  <c:v>1.68256464</c:v>
                </c:pt>
                <c:pt idx="8">
                  <c:v>1.68256464</c:v>
                </c:pt>
                <c:pt idx="9">
                  <c:v>1.68256464</c:v>
                </c:pt>
                <c:pt idx="10">
                  <c:v>1.68256464</c:v>
                </c:pt>
                <c:pt idx="11">
                  <c:v>1.68256464</c:v>
                </c:pt>
                <c:pt idx="12">
                  <c:v>1.68256464</c:v>
                </c:pt>
                <c:pt idx="13">
                  <c:v>1.68256464</c:v>
                </c:pt>
                <c:pt idx="14">
                  <c:v>1.68256464</c:v>
                </c:pt>
                <c:pt idx="15">
                  <c:v>1.68256464</c:v>
                </c:pt>
                <c:pt idx="16">
                  <c:v>1.68256464</c:v>
                </c:pt>
                <c:pt idx="17">
                  <c:v>1.68256464</c:v>
                </c:pt>
                <c:pt idx="18">
                  <c:v>1.68256464</c:v>
                </c:pt>
                <c:pt idx="19">
                  <c:v>1.68256464</c:v>
                </c:pt>
                <c:pt idx="20">
                  <c:v>1.68256464</c:v>
                </c:pt>
                <c:pt idx="21">
                  <c:v>1.68256464</c:v>
                </c:pt>
                <c:pt idx="22">
                  <c:v>1.68256464</c:v>
                </c:pt>
                <c:pt idx="23">
                  <c:v>1.68256464</c:v>
                </c:pt>
                <c:pt idx="24">
                  <c:v>1.68256464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'X-R控制图'!$AE$10</c:f>
              <c:strCache>
                <c:ptCount val="1"/>
                <c:pt idx="0">
                  <c:v>U2σ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'X-R控制图'!$AF$10:$BD$10</c:f>
              <c:numCache>
                <c:formatCode>0.000_ </c:formatCode>
                <c:ptCount val="25"/>
                <c:pt idx="0">
                  <c:v>1.68019509333333</c:v>
                </c:pt>
                <c:pt idx="1">
                  <c:v>1.68019509333333</c:v>
                </c:pt>
                <c:pt idx="2">
                  <c:v>1.68019509333333</c:v>
                </c:pt>
                <c:pt idx="3">
                  <c:v>1.68019509333333</c:v>
                </c:pt>
                <c:pt idx="4">
                  <c:v>1.68019509333333</c:v>
                </c:pt>
                <c:pt idx="5">
                  <c:v>1.68019509333333</c:v>
                </c:pt>
                <c:pt idx="6">
                  <c:v>1.68019509333333</c:v>
                </c:pt>
                <c:pt idx="7">
                  <c:v>1.68019509333333</c:v>
                </c:pt>
                <c:pt idx="8">
                  <c:v>1.68019509333333</c:v>
                </c:pt>
                <c:pt idx="9">
                  <c:v>1.68019509333333</c:v>
                </c:pt>
                <c:pt idx="10">
                  <c:v>1.68019509333333</c:v>
                </c:pt>
                <c:pt idx="11">
                  <c:v>1.68019509333333</c:v>
                </c:pt>
                <c:pt idx="12">
                  <c:v>1.68019509333333</c:v>
                </c:pt>
                <c:pt idx="13">
                  <c:v>1.68019509333333</c:v>
                </c:pt>
                <c:pt idx="14">
                  <c:v>1.68019509333333</c:v>
                </c:pt>
                <c:pt idx="15">
                  <c:v>1.68019509333333</c:v>
                </c:pt>
                <c:pt idx="16">
                  <c:v>1.68019509333333</c:v>
                </c:pt>
                <c:pt idx="17">
                  <c:v>1.68019509333333</c:v>
                </c:pt>
                <c:pt idx="18">
                  <c:v>1.68019509333333</c:v>
                </c:pt>
                <c:pt idx="19">
                  <c:v>1.68019509333333</c:v>
                </c:pt>
                <c:pt idx="20">
                  <c:v>1.68019509333333</c:v>
                </c:pt>
                <c:pt idx="21">
                  <c:v>1.68019509333333</c:v>
                </c:pt>
                <c:pt idx="22">
                  <c:v>1.68019509333333</c:v>
                </c:pt>
                <c:pt idx="23">
                  <c:v>1.68019509333333</c:v>
                </c:pt>
                <c:pt idx="24">
                  <c:v>1.68019509333333</c:v>
                </c:pt>
              </c:numCache>
            </c:numRef>
          </c:val>
          <c:smooth val="0"/>
        </c:ser>
        <c:ser>
          <c:idx val="5"/>
          <c:order val="3"/>
          <c:tx>
            <c:strRef>
              <c:f>'X-R控制图'!$AE$11</c:f>
              <c:strCache>
                <c:ptCount val="1"/>
                <c:pt idx="0">
                  <c:v>U1σ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'X-R控制图'!$AF$11:$BD$11</c:f>
              <c:numCache>
                <c:formatCode>0.000_ </c:formatCode>
                <c:ptCount val="25"/>
                <c:pt idx="0">
                  <c:v>1.67782554666667</c:v>
                </c:pt>
                <c:pt idx="1">
                  <c:v>1.67782554666667</c:v>
                </c:pt>
                <c:pt idx="2">
                  <c:v>1.67782554666667</c:v>
                </c:pt>
                <c:pt idx="3">
                  <c:v>1.67782554666667</c:v>
                </c:pt>
                <c:pt idx="4">
                  <c:v>1.67782554666667</c:v>
                </c:pt>
                <c:pt idx="5">
                  <c:v>1.67782554666667</c:v>
                </c:pt>
                <c:pt idx="6">
                  <c:v>1.67782554666667</c:v>
                </c:pt>
                <c:pt idx="7">
                  <c:v>1.67782554666667</c:v>
                </c:pt>
                <c:pt idx="8">
                  <c:v>1.67782554666667</c:v>
                </c:pt>
                <c:pt idx="9">
                  <c:v>1.67782554666667</c:v>
                </c:pt>
                <c:pt idx="10">
                  <c:v>1.67782554666667</c:v>
                </c:pt>
                <c:pt idx="11">
                  <c:v>1.67782554666667</c:v>
                </c:pt>
                <c:pt idx="12">
                  <c:v>1.67782554666667</c:v>
                </c:pt>
                <c:pt idx="13">
                  <c:v>1.67782554666667</c:v>
                </c:pt>
                <c:pt idx="14">
                  <c:v>1.67782554666667</c:v>
                </c:pt>
                <c:pt idx="15">
                  <c:v>1.67782554666667</c:v>
                </c:pt>
                <c:pt idx="16">
                  <c:v>1.67782554666667</c:v>
                </c:pt>
                <c:pt idx="17">
                  <c:v>1.67782554666667</c:v>
                </c:pt>
                <c:pt idx="18">
                  <c:v>1.67782554666667</c:v>
                </c:pt>
                <c:pt idx="19">
                  <c:v>1.67782554666667</c:v>
                </c:pt>
                <c:pt idx="20">
                  <c:v>1.67782554666667</c:v>
                </c:pt>
                <c:pt idx="21">
                  <c:v>1.67782554666667</c:v>
                </c:pt>
                <c:pt idx="22">
                  <c:v>1.67782554666667</c:v>
                </c:pt>
                <c:pt idx="23">
                  <c:v>1.67782554666667</c:v>
                </c:pt>
                <c:pt idx="24">
                  <c:v>1.67782554666667</c:v>
                </c:pt>
              </c:numCache>
            </c:numRef>
          </c:val>
          <c:smooth val="0"/>
        </c:ser>
        <c:ser>
          <c:idx val="2"/>
          <c:order val="4"/>
          <c:tx>
            <c:strRef>
              <c:f>'X-R控制图'!$AE$12</c:f>
              <c:strCache>
                <c:ptCount val="1"/>
                <c:pt idx="0">
                  <c:v>CL</c:v>
                </c:pt>
              </c:strCache>
            </c:strRef>
          </c:tx>
          <c:spPr>
            <a:ln w="12700" cap="rnd" cmpd="sng" algn="ctr">
              <a:solidFill>
                <a:srgbClr val="00B050"/>
              </a:solidFill>
              <a:prstDash val="solid"/>
              <a:round/>
            </a:ln>
            <a:sp3d contourW="1270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0">
                  <a:spAutoFit/>
                </a:bodyPr>
                <a:lstStyle/>
                <a:p>
                  <a:pPr>
                    <a:defRPr lang="zh-CN" sz="1000" b="0" i="0" u="none" strike="noStrike" kern="1200" baseline="0">
                      <a:solidFill>
                        <a:srgbClr val="10101C">
                          <a:alpha val="100000"/>
                        </a:srgbClr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'X-R控制图'!$AF$12:$BD$12</c:f>
              <c:numCache>
                <c:formatCode>0.000_ </c:formatCode>
                <c:ptCount val="25"/>
                <c:pt idx="0">
                  <c:v>1.675456</c:v>
                </c:pt>
                <c:pt idx="1">
                  <c:v>1.675456</c:v>
                </c:pt>
                <c:pt idx="2">
                  <c:v>1.675456</c:v>
                </c:pt>
                <c:pt idx="3">
                  <c:v>1.675456</c:v>
                </c:pt>
                <c:pt idx="4">
                  <c:v>1.675456</c:v>
                </c:pt>
                <c:pt idx="5">
                  <c:v>1.675456</c:v>
                </c:pt>
                <c:pt idx="6">
                  <c:v>1.675456</c:v>
                </c:pt>
                <c:pt idx="7">
                  <c:v>1.675456</c:v>
                </c:pt>
                <c:pt idx="8">
                  <c:v>1.675456</c:v>
                </c:pt>
                <c:pt idx="9">
                  <c:v>1.675456</c:v>
                </c:pt>
                <c:pt idx="10">
                  <c:v>1.675456</c:v>
                </c:pt>
                <c:pt idx="11">
                  <c:v>1.675456</c:v>
                </c:pt>
                <c:pt idx="12">
                  <c:v>1.675456</c:v>
                </c:pt>
                <c:pt idx="13">
                  <c:v>1.675456</c:v>
                </c:pt>
                <c:pt idx="14">
                  <c:v>1.675456</c:v>
                </c:pt>
                <c:pt idx="15">
                  <c:v>1.675456</c:v>
                </c:pt>
                <c:pt idx="16">
                  <c:v>1.675456</c:v>
                </c:pt>
                <c:pt idx="17">
                  <c:v>1.675456</c:v>
                </c:pt>
                <c:pt idx="18">
                  <c:v>1.675456</c:v>
                </c:pt>
                <c:pt idx="19">
                  <c:v>1.675456</c:v>
                </c:pt>
                <c:pt idx="20">
                  <c:v>1.675456</c:v>
                </c:pt>
                <c:pt idx="21">
                  <c:v>1.675456</c:v>
                </c:pt>
                <c:pt idx="22">
                  <c:v>1.675456</c:v>
                </c:pt>
                <c:pt idx="23">
                  <c:v>1.675456</c:v>
                </c:pt>
                <c:pt idx="24">
                  <c:v>1.675456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'X-R控制图'!$AE$13</c:f>
              <c:strCache>
                <c:ptCount val="1"/>
                <c:pt idx="0">
                  <c:v>L1σ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pPr>
              <a:ln w="9525" cap="flat" cmpd="sng" algn="ctr">
                <a:noFill/>
                <a:prstDash val="solid"/>
                <a:round/>
              </a:ln>
            </c:spPr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0"/>
                <a:lstStyle/>
                <a:p>
                  <a:pPr>
                    <a:defRPr lang="zh-CN" sz="1000" b="0" i="0" u="none" strike="noStrike" kern="1200" baseline="0">
                      <a:solidFill>
                        <a:srgbClr val="10101C">
                          <a:alpha val="100000"/>
                        </a:srgbClr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'X-R控制图'!$AF$13:$BD$13</c:f>
              <c:numCache>
                <c:formatCode>0.000_ </c:formatCode>
                <c:ptCount val="25"/>
                <c:pt idx="0">
                  <c:v>1.67308645333333</c:v>
                </c:pt>
                <c:pt idx="1">
                  <c:v>1.67308645333333</c:v>
                </c:pt>
                <c:pt idx="2">
                  <c:v>1.67308645333333</c:v>
                </c:pt>
                <c:pt idx="3">
                  <c:v>1.67308645333333</c:v>
                </c:pt>
                <c:pt idx="4">
                  <c:v>1.67308645333333</c:v>
                </c:pt>
                <c:pt idx="5">
                  <c:v>1.67308645333333</c:v>
                </c:pt>
                <c:pt idx="6">
                  <c:v>1.67308645333333</c:v>
                </c:pt>
                <c:pt idx="7">
                  <c:v>1.67308645333333</c:v>
                </c:pt>
                <c:pt idx="8">
                  <c:v>1.67308645333333</c:v>
                </c:pt>
                <c:pt idx="9">
                  <c:v>1.67308645333333</c:v>
                </c:pt>
                <c:pt idx="10">
                  <c:v>1.67308645333333</c:v>
                </c:pt>
                <c:pt idx="11">
                  <c:v>1.67308645333333</c:v>
                </c:pt>
                <c:pt idx="12">
                  <c:v>1.67308645333333</c:v>
                </c:pt>
                <c:pt idx="13">
                  <c:v>1.67308645333333</c:v>
                </c:pt>
                <c:pt idx="14">
                  <c:v>1.67308645333333</c:v>
                </c:pt>
                <c:pt idx="15">
                  <c:v>1.67308645333333</c:v>
                </c:pt>
                <c:pt idx="16">
                  <c:v>1.67308645333333</c:v>
                </c:pt>
                <c:pt idx="17">
                  <c:v>1.67308645333333</c:v>
                </c:pt>
                <c:pt idx="18">
                  <c:v>1.67308645333333</c:v>
                </c:pt>
                <c:pt idx="19">
                  <c:v>1.67308645333333</c:v>
                </c:pt>
                <c:pt idx="20">
                  <c:v>1.67308645333333</c:v>
                </c:pt>
                <c:pt idx="21">
                  <c:v>1.67308645333333</c:v>
                </c:pt>
                <c:pt idx="22">
                  <c:v>1.67308645333333</c:v>
                </c:pt>
                <c:pt idx="23">
                  <c:v>1.67308645333333</c:v>
                </c:pt>
                <c:pt idx="24">
                  <c:v>1.67308645333333</c:v>
                </c:pt>
              </c:numCache>
            </c:numRef>
          </c:val>
          <c:smooth val="0"/>
        </c:ser>
        <c:ser>
          <c:idx val="7"/>
          <c:order val="6"/>
          <c:tx>
            <c:strRef>
              <c:f>'X-R控制图'!$AE$14</c:f>
              <c:strCache>
                <c:ptCount val="1"/>
                <c:pt idx="0">
                  <c:v>L2σ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'X-R控制图'!$AF$14:$BD$14</c:f>
              <c:numCache>
                <c:formatCode>0.000_ </c:formatCode>
                <c:ptCount val="25"/>
                <c:pt idx="0">
                  <c:v>1.67071690666667</c:v>
                </c:pt>
                <c:pt idx="1">
                  <c:v>1.67071690666667</c:v>
                </c:pt>
                <c:pt idx="2">
                  <c:v>1.67071690666667</c:v>
                </c:pt>
                <c:pt idx="3">
                  <c:v>1.67071690666667</c:v>
                </c:pt>
                <c:pt idx="4">
                  <c:v>1.67071690666667</c:v>
                </c:pt>
                <c:pt idx="5">
                  <c:v>1.67071690666667</c:v>
                </c:pt>
                <c:pt idx="6">
                  <c:v>1.67071690666667</c:v>
                </c:pt>
                <c:pt idx="7">
                  <c:v>1.67071690666667</c:v>
                </c:pt>
                <c:pt idx="8">
                  <c:v>1.67071690666667</c:v>
                </c:pt>
                <c:pt idx="9">
                  <c:v>1.67071690666667</c:v>
                </c:pt>
                <c:pt idx="10">
                  <c:v>1.67071690666667</c:v>
                </c:pt>
                <c:pt idx="11">
                  <c:v>1.67071690666667</c:v>
                </c:pt>
                <c:pt idx="12">
                  <c:v>1.67071690666667</c:v>
                </c:pt>
                <c:pt idx="13">
                  <c:v>1.67071690666667</c:v>
                </c:pt>
                <c:pt idx="14">
                  <c:v>1.67071690666667</c:v>
                </c:pt>
                <c:pt idx="15">
                  <c:v>1.67071690666667</c:v>
                </c:pt>
                <c:pt idx="16">
                  <c:v>1.67071690666667</c:v>
                </c:pt>
                <c:pt idx="17">
                  <c:v>1.67071690666667</c:v>
                </c:pt>
                <c:pt idx="18">
                  <c:v>1.67071690666667</c:v>
                </c:pt>
                <c:pt idx="19">
                  <c:v>1.67071690666667</c:v>
                </c:pt>
                <c:pt idx="20">
                  <c:v>1.67071690666667</c:v>
                </c:pt>
                <c:pt idx="21">
                  <c:v>1.67071690666667</c:v>
                </c:pt>
                <c:pt idx="22">
                  <c:v>1.67071690666667</c:v>
                </c:pt>
                <c:pt idx="23">
                  <c:v>1.67071690666667</c:v>
                </c:pt>
                <c:pt idx="24">
                  <c:v>1.67071690666667</c:v>
                </c:pt>
              </c:numCache>
            </c:numRef>
          </c:val>
          <c:smooth val="0"/>
        </c:ser>
        <c:ser>
          <c:idx val="3"/>
          <c:order val="7"/>
          <c:tx>
            <c:strRef>
              <c:f>'X-R控制图'!$AE$15</c:f>
              <c:strCache>
                <c:ptCount val="1"/>
                <c:pt idx="0">
                  <c:v>LCL</c:v>
                </c:pt>
              </c:strCache>
            </c:strRef>
          </c:tx>
          <c:spPr>
            <a:ln w="9525" cap="rnd" cmpd="sng" algn="ctr">
              <a:solidFill>
                <a:srgbClr val="FF0000"/>
              </a:solidFill>
              <a:prstDash val="solid"/>
              <a:round/>
            </a:ln>
            <a:sp3d contourW="9525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'X-R控制图'!$AF$15:$BD$15</c:f>
              <c:numCache>
                <c:formatCode>0.000_ </c:formatCode>
                <c:ptCount val="25"/>
                <c:pt idx="0">
                  <c:v>1.66834736</c:v>
                </c:pt>
                <c:pt idx="1">
                  <c:v>1.66834736</c:v>
                </c:pt>
                <c:pt idx="2">
                  <c:v>1.66834736</c:v>
                </c:pt>
                <c:pt idx="3">
                  <c:v>1.66834736</c:v>
                </c:pt>
                <c:pt idx="4">
                  <c:v>1.66834736</c:v>
                </c:pt>
                <c:pt idx="5">
                  <c:v>1.66834736</c:v>
                </c:pt>
                <c:pt idx="6">
                  <c:v>1.66834736</c:v>
                </c:pt>
                <c:pt idx="7">
                  <c:v>1.66834736</c:v>
                </c:pt>
                <c:pt idx="8">
                  <c:v>1.66834736</c:v>
                </c:pt>
                <c:pt idx="9">
                  <c:v>1.66834736</c:v>
                </c:pt>
                <c:pt idx="10">
                  <c:v>1.66834736</c:v>
                </c:pt>
                <c:pt idx="11">
                  <c:v>1.66834736</c:v>
                </c:pt>
                <c:pt idx="12">
                  <c:v>1.66834736</c:v>
                </c:pt>
                <c:pt idx="13">
                  <c:v>1.66834736</c:v>
                </c:pt>
                <c:pt idx="14">
                  <c:v>1.66834736</c:v>
                </c:pt>
                <c:pt idx="15">
                  <c:v>1.66834736</c:v>
                </c:pt>
                <c:pt idx="16">
                  <c:v>1.66834736</c:v>
                </c:pt>
                <c:pt idx="17">
                  <c:v>1.66834736</c:v>
                </c:pt>
                <c:pt idx="18">
                  <c:v>1.66834736</c:v>
                </c:pt>
                <c:pt idx="19">
                  <c:v>1.66834736</c:v>
                </c:pt>
                <c:pt idx="20">
                  <c:v>1.66834736</c:v>
                </c:pt>
                <c:pt idx="21">
                  <c:v>1.66834736</c:v>
                </c:pt>
                <c:pt idx="22">
                  <c:v>1.66834736</c:v>
                </c:pt>
                <c:pt idx="23">
                  <c:v>1.66834736</c:v>
                </c:pt>
                <c:pt idx="24">
                  <c:v>1.66834736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1"/>
        <c:axId val="176347529"/>
        <c:axId val="709522425"/>
      </c:lineChart>
      <c:catAx>
        <c:axId val="176347529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10101C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09522425"/>
        <c:crosses val="autoZero"/>
        <c:auto val="1"/>
        <c:lblAlgn val="ctr"/>
        <c:lblOffset val="100"/>
        <c:noMultiLvlLbl val="0"/>
      </c:catAx>
      <c:valAx>
        <c:axId val="709522425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prstDash val="solid"/>
              <a:round/>
            </a:ln>
          </c:spPr>
        </c:majorGridlines>
        <c:numFmt formatCode="0.000_);[Red]\(0.000\)" sourceLinked="0"/>
        <c:majorTickMark val="out"/>
        <c:minorTickMark val="none"/>
        <c:tickLblPos val="nextTo"/>
        <c:spPr>
          <a:ln w="9525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10101C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176347529"/>
        <c:crosses val="autoZero"/>
        <c:crossBetween val="between"/>
      </c:valAx>
      <c:spPr>
        <a:noFill/>
        <a:ln w="12700" cmpd="sng">
          <a:noFill/>
          <a:prstDash val="sysDash"/>
        </a:ln>
        <a:effectLst/>
      </c:spPr>
    </c:plotArea>
    <c:legend>
      <c:legendPos val="t"/>
      <c:layout>
        <c:manualLayout>
          <c:xMode val="edge"/>
          <c:yMode val="edge"/>
          <c:x val="0.164654749196244"/>
          <c:y val="0.00842223469960696"/>
          <c:w val="0.770418712845697"/>
          <c:h val="0.0824145534729879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rgbClr val="10101C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c62bb915-1446-4295-ad4d-d37e4eeafca5}"/>
      </c:ext>
    </c:extLst>
  </c:chart>
  <c:spPr>
    <a:noFill/>
    <a:ln w="9525" cap="flat" cmpd="sng" algn="ctr">
      <a:noFill/>
      <a:prstDash val="solid"/>
      <a:round/>
    </a:ln>
  </c:spPr>
  <c:txPr>
    <a:bodyPr rot="0" vert="eaVert" wrap="square" anchor="ctr" anchorCtr="1"/>
    <a:lstStyle/>
    <a:p>
      <a:pPr>
        <a:defRPr lang="zh-CN" sz="1000" b="0" i="0" u="none" strike="noStrike" baseline="0">
          <a:solidFill>
            <a:srgbClr val="10101C">
              <a:alpha val="100000"/>
            </a:srgbClr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2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altLang="en-US" sz="1200" b="1">
                <a:solidFill>
                  <a:srgbClr val="002060"/>
                </a:solidFill>
              </a:rPr>
              <a:t>分布图</a:t>
            </a:r>
            <a:endParaRPr altLang="en-US" sz="1200" b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741782803050223"/>
          <c:y val="0.00856164383561644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178806205627136"/>
          <c:y val="0.00856164383561644"/>
          <c:w val="0.974230870365501"/>
          <c:h val="0.8734018264840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'X-R控制图'!$AA$19</c:f>
              <c:strCache>
                <c:ptCount val="1"/>
                <c:pt idx="0">
                  <c:v>个数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00B050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'X-R控制图'!$Y$20:$Y$27</c:f>
              <c:strCache>
                <c:ptCount val="8"/>
                <c:pt idx="0" c:formatCode="0\ &quot;PCS&quot;">
                  <c:v>&lt;3σ</c:v>
                </c:pt>
                <c:pt idx="1" c:formatCode="0\ &quot;PCS&quot;">
                  <c:v>&lt;2σ</c:v>
                </c:pt>
                <c:pt idx="2" c:formatCode="0\ &quot;PCS&quot;">
                  <c:v>&lt;1σ</c:v>
                </c:pt>
                <c:pt idx="3" c:formatCode="0.000_ ">
                  <c:v>&lt;CL</c:v>
                </c:pt>
                <c:pt idx="4" c:formatCode="0.000_ ">
                  <c:v>&gt;CL</c:v>
                </c:pt>
                <c:pt idx="5" c:formatCode="0.000_ ">
                  <c:v>&gt;1σ</c:v>
                </c:pt>
                <c:pt idx="6" c:formatCode="0.000_ ">
                  <c:v>&gt;2σ</c:v>
                </c:pt>
                <c:pt idx="7" c:formatCode="0.000_ ">
                  <c:v>&gt;3σ</c:v>
                </c:pt>
              </c:strCache>
            </c:strRef>
          </c:cat>
          <c:val>
            <c:numRef>
              <c:f>'X-R控制图'!$AA$20:$AA$27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61707879"/>
        <c:axId val="667906575"/>
      </c:barChart>
      <c:catAx>
        <c:axId val="661707879"/>
        <c:scaling>
          <c:orientation val="minMax"/>
        </c:scaling>
        <c:delete val="0"/>
        <c:axPos val="b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7906575"/>
        <c:crosses val="autoZero"/>
        <c:auto val="1"/>
        <c:lblAlgn val="ctr"/>
        <c:lblOffset val="100"/>
        <c:tickMarkSkip val="2"/>
        <c:noMultiLvlLbl val="0"/>
      </c:catAx>
      <c:valAx>
        <c:axId val="667906575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61707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f035e152-98f6-41cf-8dd0-1aea49b34c4c}"/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2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sz="1200" b="1">
                <a:solidFill>
                  <a:srgbClr val="002060"/>
                </a:solidFill>
              </a:rPr>
              <a:t>分布图</a:t>
            </a:r>
            <a:endParaRPr sz="1200" b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739384288747346"/>
          <c:y val="0.0187412587412587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177813163481953"/>
          <c:y val="0.00826446280991736"/>
          <c:w val="0.974256900212314"/>
          <c:h val="0.840415889096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'X-R控制图'!$AA$30</c:f>
              <c:strCache>
                <c:ptCount val="1"/>
                <c:pt idx="0">
                  <c:v>个数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00B050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'X-R控制图'!$Y$31:$Y$38</c:f>
              <c:strCache>
                <c:ptCount val="8"/>
                <c:pt idx="0" c:formatCode="0\ &quot;PCS&quot;">
                  <c:v>&lt;3σ</c:v>
                </c:pt>
                <c:pt idx="1" c:formatCode="0\ &quot;PCS&quot;">
                  <c:v>&lt;2σ</c:v>
                </c:pt>
                <c:pt idx="2" c:formatCode="0\ &quot;PCS&quot;">
                  <c:v>&lt;1σ</c:v>
                </c:pt>
                <c:pt idx="3" c:formatCode="0.000_ ">
                  <c:v>&lt;CL</c:v>
                </c:pt>
                <c:pt idx="4" c:formatCode="0.000_ ">
                  <c:v>&gt;CL</c:v>
                </c:pt>
                <c:pt idx="5" c:formatCode="0.000_ ">
                  <c:v>&gt;1σ</c:v>
                </c:pt>
                <c:pt idx="6" c:formatCode="0.000_ ">
                  <c:v>&gt;2σ</c:v>
                </c:pt>
                <c:pt idx="7" c:formatCode="0.000_ ">
                  <c:v>&gt;3σ</c:v>
                </c:pt>
              </c:strCache>
            </c:strRef>
          </c:cat>
          <c:val>
            <c:numRef>
              <c:f>'X-R控制图'!$AA$31:$AA$38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11</c:v>
                </c:pt>
                <c:pt idx="4">
                  <c:v>12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61707879"/>
        <c:axId val="667906575"/>
      </c:barChart>
      <c:catAx>
        <c:axId val="661707879"/>
        <c:scaling>
          <c:orientation val="minMax"/>
        </c:scaling>
        <c:delete val="0"/>
        <c:axPos val="b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667906575"/>
        <c:crosses val="autoZero"/>
        <c:auto val="1"/>
        <c:lblAlgn val="ctr"/>
        <c:lblOffset val="100"/>
        <c:tickMarkSkip val="2"/>
        <c:noMultiLvlLbl val="0"/>
      </c:catAx>
      <c:valAx>
        <c:axId val="667906575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61707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198770f9-c0d3-4c5b-b9e9-f98da97386e4}"/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200" b="1" i="0" u="none" strike="noStrike" kern="1200" baseline="0">
                <a:solidFill>
                  <a:schemeClr val="tx2">
                    <a:lumMod val="60000"/>
                    <a:lumOff val="4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sz="1200">
                <a:solidFill>
                  <a:schemeClr val="tx2">
                    <a:lumMod val="60000"/>
                    <a:lumOff val="40000"/>
                  </a:schemeClr>
                </a:solidFill>
              </a:rPr>
              <a:t>正态分布图</a:t>
            </a:r>
            <a:endParaRPr sz="1200">
              <a:solidFill>
                <a:schemeClr val="tx2">
                  <a:lumMod val="60000"/>
                  <a:lumOff val="40000"/>
                </a:schemeClr>
              </a:solidFill>
            </a:endParaRPr>
          </a:p>
        </c:rich>
      </c:tx>
      <c:layout>
        <c:manualLayout>
          <c:xMode val="edge"/>
          <c:yMode val="edge"/>
          <c:x val="0.309035353152008"/>
          <c:y val="0.1102292920095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528511821974965"/>
          <c:y val="0.199277543648405"/>
          <c:w val="0.908205841446453"/>
          <c:h val="0.743829018663456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'X-R控制图'!$BJ$19</c:f>
              <c:strCache>
                <c:ptCount val="1"/>
                <c:pt idx="0">
                  <c:v>规格上下限</c:v>
                </c:pt>
              </c:strCache>
            </c:strRef>
          </c:tx>
          <c:spPr>
            <a:noFill/>
            <a:ln w="12700">
              <a:solidFill>
                <a:srgbClr val="00B050"/>
              </a:solidFill>
            </a:ln>
            <a:sp3d contourW="12700"/>
          </c:spPr>
          <c:invertIfNegative val="0"/>
          <c:dPt>
            <c:idx val="16"/>
            <c:invertIfNegative val="0"/>
            <c:bubble3D val="0"/>
            <c:explosion val="0"/>
            <c:spPr>
              <a:noFill/>
              <a:ln w="12700" cmpd="sng">
                <a:solidFill>
                  <a:srgbClr val="00B050"/>
                </a:solidFill>
                <a:prstDash val="solid"/>
              </a:ln>
              <a:sp3d contourW="12700"/>
            </c:spPr>
          </c:dPt>
          <c:dPt>
            <c:idx val="19"/>
            <c:invertIfNegative val="0"/>
            <c:bubble3D val="0"/>
            <c:explosion val="0"/>
            <c:spPr>
              <a:noFill/>
              <a:ln w="12700" cmpd="sng">
                <a:solidFill>
                  <a:srgbClr val="FF0000"/>
                </a:solidFill>
                <a:prstDash val="solid"/>
              </a:ln>
              <a:sp3d contourW="12700"/>
            </c:spPr>
          </c:dPt>
          <c:dPt>
            <c:idx val="38"/>
            <c:invertIfNegative val="0"/>
            <c:bubble3D val="0"/>
            <c:explosion val="0"/>
            <c:spPr>
              <a:noFill/>
              <a:ln w="12700" cmpd="sng">
                <a:solidFill>
                  <a:srgbClr val="00B050"/>
                </a:solidFill>
                <a:prstDash val="solid"/>
              </a:ln>
              <a:sp3d contourW="12700"/>
            </c:spPr>
          </c:dPt>
          <c:dPt>
            <c:idx val="64"/>
            <c:invertIfNegative val="0"/>
            <c:bubble3D val="0"/>
            <c:explosion val="0"/>
            <c:spPr>
              <a:noFill/>
              <a:ln w="12700" cmpd="sng">
                <a:solidFill>
                  <a:srgbClr val="00B050"/>
                </a:solidFill>
                <a:prstDash val="solid"/>
              </a:ln>
              <a:sp3d contourW="12700"/>
            </c:spPr>
          </c:dPt>
          <c:dPt>
            <c:idx val="69"/>
            <c:invertIfNegative val="0"/>
            <c:bubble3D val="0"/>
            <c:explosion val="0"/>
            <c:spPr>
              <a:noFill/>
              <a:ln w="12700" cmpd="sng">
                <a:solidFill>
                  <a:srgbClr val="00B050"/>
                </a:solidFill>
                <a:prstDash val="solid"/>
              </a:ln>
              <a:sp3d contourW="12700"/>
            </c:spPr>
          </c:dPt>
          <c:dPt>
            <c:idx val="119"/>
            <c:invertIfNegative val="0"/>
            <c:bubble3D val="0"/>
            <c:explosion val="0"/>
            <c:spPr>
              <a:noFill/>
              <a:ln w="12700" cmpd="sng">
                <a:solidFill>
                  <a:srgbClr val="00B050"/>
                </a:solidFill>
                <a:prstDash val="solid"/>
              </a:ln>
              <a:sp3d contourW="12700"/>
            </c:spPr>
          </c:dPt>
          <c:dPt>
            <c:idx val="144"/>
            <c:invertIfNegative val="0"/>
            <c:bubble3D val="0"/>
            <c:spPr>
              <a:noFill/>
              <a:ln w="12700" cmpd="sng">
                <a:solidFill>
                  <a:srgbClr val="FF0000"/>
                </a:solidFill>
                <a:prstDash val="solid"/>
              </a:ln>
              <a:sp3d contourW="12700"/>
            </c:spPr>
          </c:dPt>
          <c:dLbls>
            <c:dLbl>
              <c:idx val="19"/>
              <c:delete val="1"/>
            </c:dLbl>
            <c:dLbl>
              <c:idx val="69"/>
              <c:delete val="1"/>
            </c:dLbl>
            <c:dLbl>
              <c:idx val="82"/>
              <c:delete val="1"/>
            </c:dLbl>
            <c:dLbl>
              <c:idx val="119"/>
              <c:delete val="1"/>
            </c:dLbl>
            <c:dLbl>
              <c:idx val="144"/>
              <c:delete val="1"/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val>
            <c:numRef>
              <c:f>'X-R控制图'!$BJ$20:$BJ$183</c:f>
              <c:numCache>
                <c:formatCode>0.000_ </c:formatCode>
                <c:ptCount val="164"/>
                <c:pt idx="19">
                  <c:v>19.072817257246</c:v>
                </c:pt>
                <c:pt idx="82">
                  <c:v>23.8410215715575</c:v>
                </c:pt>
                <c:pt idx="144">
                  <c:v>19.072817257246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5114950"/>
        <c:axId val="566853749"/>
      </c:barChart>
      <c:lineChart>
        <c:grouping val="standard"/>
        <c:varyColors val="0"/>
        <c:ser>
          <c:idx val="1"/>
          <c:order val="0"/>
          <c:tx>
            <c:strRef>
              <c:f>'X-R控制图'!$BI$19</c:f>
              <c:strCache>
                <c:ptCount val="1"/>
                <c:pt idx="0">
                  <c:v>正态分布</c:v>
                </c:pt>
              </c:strCache>
            </c:strRef>
          </c:tx>
          <c:spPr>
            <a:ln w="25400" cap="rnd" cmpd="sng" algn="ctr">
              <a:solidFill>
                <a:schemeClr val="tx2"/>
              </a:solidFill>
              <a:prstDash val="solid"/>
              <a:round/>
            </a:ln>
            <a:effectLst/>
            <a:sp3d contourW="25400"/>
          </c:spPr>
          <c:marker>
            <c:symbol val="none"/>
          </c:marker>
          <c:dLbls>
            <c:delete val="1"/>
          </c:dLbls>
          <c:val>
            <c:numRef>
              <c:f>'X-R控制图'!$BI$20:$BI$183</c:f>
              <c:numCache>
                <c:formatCode>0.000_ </c:formatCode>
                <c:ptCount val="164"/>
                <c:pt idx="0">
                  <c:v>2.95249584570874e-36</c:v>
                </c:pt>
                <c:pt idx="1">
                  <c:v>1.31188010837097e-35</c:v>
                </c:pt>
                <c:pt idx="2">
                  <c:v>5.75261348132303e-35</c:v>
                </c:pt>
                <c:pt idx="3">
                  <c:v>2.48944444114746e-34</c:v>
                </c:pt>
                <c:pt idx="4">
                  <c:v>1.06317774610376e-33</c:v>
                </c:pt>
                <c:pt idx="5">
                  <c:v>4.48100586979172e-33</c:v>
                </c:pt>
                <c:pt idx="6">
                  <c:v>1.8638516559026e-32</c:v>
                </c:pt>
                <c:pt idx="7">
                  <c:v>7.65091488880445e-32</c:v>
                </c:pt>
                <c:pt idx="8">
                  <c:v>3.09942829548108e-31</c:v>
                </c:pt>
                <c:pt idx="9">
                  <c:v>1.23912754764688e-30</c:v>
                </c:pt>
                <c:pt idx="10">
                  <c:v>4.88896160439374e-30</c:v>
                </c:pt>
                <c:pt idx="11">
                  <c:v>1.90363392928751e-29</c:v>
                </c:pt>
                <c:pt idx="12">
                  <c:v>7.31503558142093e-29</c:v>
                </c:pt>
                <c:pt idx="13">
                  <c:v>2.77405868889431e-28</c:v>
                </c:pt>
                <c:pt idx="14">
                  <c:v>1.03820004347105e-27</c:v>
                </c:pt>
                <c:pt idx="15">
                  <c:v>3.83453438380716e-27</c:v>
                </c:pt>
                <c:pt idx="16">
                  <c:v>1.39768860952733e-26</c:v>
                </c:pt>
                <c:pt idx="17">
                  <c:v>5.02775852715582e-26</c:v>
                </c:pt>
                <c:pt idx="18">
                  <c:v>1.78486179041813e-25</c:v>
                </c:pt>
                <c:pt idx="19">
                  <c:v>6.25318056598607e-25</c:v>
                </c:pt>
                <c:pt idx="20">
                  <c:v>2.16203909288039e-24</c:v>
                </c:pt>
                <c:pt idx="21">
                  <c:v>7.37721279991963e-24</c:v>
                </c:pt>
                <c:pt idx="22">
                  <c:v>2.4842041084176e-23</c:v>
                </c:pt>
                <c:pt idx="23">
                  <c:v>8.25559607916838e-23</c:v>
                </c:pt>
                <c:pt idx="24">
                  <c:v>2.70754567926877e-22</c:v>
                </c:pt>
                <c:pt idx="25">
                  <c:v>8.76333359791051e-22</c:v>
                </c:pt>
                <c:pt idx="26">
                  <c:v>2.79916882368746e-21</c:v>
                </c:pt>
                <c:pt idx="27">
                  <c:v>8.82378741179346e-21</c:v>
                </c:pt>
                <c:pt idx="28">
                  <c:v>2.74503051049723e-20</c:v>
                </c:pt>
                <c:pt idx="29">
                  <c:v>8.42763098922262e-20</c:v>
                </c:pt>
                <c:pt idx="30">
                  <c:v>2.55346578395041e-19</c:v>
                </c:pt>
                <c:pt idx="31">
                  <c:v>7.63520619338784e-19</c:v>
                </c:pt>
                <c:pt idx="32">
                  <c:v>2.25308560553588e-18</c:v>
                </c:pt>
                <c:pt idx="33">
                  <c:v>6.56146492865534e-18</c:v>
                </c:pt>
                <c:pt idx="34">
                  <c:v>1.88577609698278e-17</c:v>
                </c:pt>
                <c:pt idx="35">
                  <c:v>5.34866794736714e-17</c:v>
                </c:pt>
                <c:pt idx="36">
                  <c:v>1.4971569942884e-16</c:v>
                </c:pt>
                <c:pt idx="37">
                  <c:v>4.13575921237572e-16</c:v>
                </c:pt>
                <c:pt idx="38">
                  <c:v>1.12748129052962e-15</c:v>
                </c:pt>
                <c:pt idx="39">
                  <c:v>3.03339968867843e-15</c:v>
                </c:pt>
                <c:pt idx="40">
                  <c:v>8.05408349716938e-15</c:v>
                </c:pt>
                <c:pt idx="41">
                  <c:v>2.11041960810228e-14</c:v>
                </c:pt>
                <c:pt idx="42">
                  <c:v>5.45742397901528e-14</c:v>
                </c:pt>
                <c:pt idx="43">
                  <c:v>1.39274873317991e-13</c:v>
                </c:pt>
                <c:pt idx="44">
                  <c:v>3.50771294324685e-13</c:v>
                </c:pt>
                <c:pt idx="45">
                  <c:v>8.71849482892481e-13</c:v>
                </c:pt>
                <c:pt idx="46">
                  <c:v>2.13857841527911e-12</c:v>
                </c:pt>
                <c:pt idx="47">
                  <c:v>5.17696274736557e-12</c:v>
                </c:pt>
                <c:pt idx="48">
                  <c:v>1.23677613494978e-11</c:v>
                </c:pt>
                <c:pt idx="49">
                  <c:v>2.91590485392633e-11</c:v>
                </c:pt>
                <c:pt idx="50">
                  <c:v>6.78456171109144e-11</c:v>
                </c:pt>
                <c:pt idx="51">
                  <c:v>1.55788875007774e-10</c:v>
                </c:pt>
                <c:pt idx="52">
                  <c:v>3.53034607776393e-10</c:v>
                </c:pt>
                <c:pt idx="53">
                  <c:v>7.89522146852634e-10</c:v>
                </c:pt>
                <c:pt idx="54">
                  <c:v>1.74251910545413e-9</c:v>
                </c:pt>
                <c:pt idx="55">
                  <c:v>3.7953949551367e-9</c:v>
                </c:pt>
                <c:pt idx="56">
                  <c:v>8.15835500318537e-9</c:v>
                </c:pt>
                <c:pt idx="57">
                  <c:v>1.73067060944202e-8</c:v>
                </c:pt>
                <c:pt idx="58">
                  <c:v>3.62320104957934e-8</c:v>
                </c:pt>
                <c:pt idx="59">
                  <c:v>7.48577284464278e-8</c:v>
                </c:pt>
                <c:pt idx="60">
                  <c:v>1.52632511722661e-7</c:v>
                </c:pt>
                <c:pt idx="61">
                  <c:v>3.07130999851372e-7</c:v>
                </c:pt>
                <c:pt idx="62">
                  <c:v>6.09910980141461e-7</c:v>
                </c:pt>
                <c:pt idx="63">
                  <c:v>1.19529594507631e-6</c:v>
                </c:pt>
                <c:pt idx="64">
                  <c:v>2.31180200622695e-6</c:v>
                </c:pt>
                <c:pt idx="65">
                  <c:v>4.41257420853795e-6</c:v>
                </c:pt>
                <c:pt idx="66">
                  <c:v>8.31188649514719e-6</c:v>
                </c:pt>
                <c:pt idx="67">
                  <c:v>1.54515973204488e-5</c:v>
                </c:pt>
                <c:pt idx="68">
                  <c:v>2.83474080372668e-5</c:v>
                </c:pt>
                <c:pt idx="69">
                  <c:v>5.13238851386652e-5</c:v>
                </c:pt>
                <c:pt idx="70">
                  <c:v>9.17047623024924e-5</c:v>
                </c:pt>
                <c:pt idx="71">
                  <c:v>0.000161707607067426</c:v>
                </c:pt>
                <c:pt idx="72">
                  <c:v>0.00028140720154897</c:v>
                </c:pt>
                <c:pt idx="73">
                  <c:v>0.000483288164996273</c:v>
                </c:pt>
                <c:pt idx="74">
                  <c:v>0.000819112038065251</c:v>
                </c:pt>
                <c:pt idx="75">
                  <c:v>0.00137008229122019</c:v>
                </c:pt>
                <c:pt idx="76">
                  <c:v>0.0022616020710408</c:v>
                </c:pt>
                <c:pt idx="77">
                  <c:v>0.00368427406770791</c:v>
                </c:pt>
                <c:pt idx="78">
                  <c:v>0.00592316541370021</c:v>
                </c:pt>
                <c:pt idx="79">
                  <c:v>0.00939770891249968</c:v>
                </c:pt>
                <c:pt idx="80">
                  <c:v>0.0147148660322608</c:v>
                </c:pt>
                <c:pt idx="81">
                  <c:v>0.0227382392602578</c:v>
                </c:pt>
                <c:pt idx="82">
                  <c:v>0.0346755650897834</c:v>
                </c:pt>
                <c:pt idx="83">
                  <c:v>0.0521862942172918</c:v>
                </c:pt>
                <c:pt idx="84">
                  <c:v>0.0775096124484811</c:v>
                </c:pt>
                <c:pt idx="85">
                  <c:v>0.113611127067032</c:v>
                </c:pt>
                <c:pt idx="86">
                  <c:v>0.164343437586826</c:v>
                </c:pt>
                <c:pt idx="87">
                  <c:v>0.234611913387054</c:v>
                </c:pt>
                <c:pt idx="88">
                  <c:v>0.330532335118348</c:v>
                </c:pt>
                <c:pt idx="89">
                  <c:v>0.459561922969235</c:v>
                </c:pt>
                <c:pt idx="90">
                  <c:v>0.630580185682877</c:v>
                </c:pt>
                <c:pt idx="91">
                  <c:v>0.853891711452943</c:v>
                </c:pt>
                <c:pt idx="92">
                  <c:v>1.14112040611271</c:v>
                </c:pt>
                <c:pt idx="93">
                  <c:v>1.5049647968385</c:v>
                </c:pt>
                <c:pt idx="94">
                  <c:v>1.95878787366233</c:v>
                </c:pt>
                <c:pt idx="95">
                  <c:v>2.5160233544407</c:v>
                </c:pt>
                <c:pt idx="96">
                  <c:v>3.18939364957363</c:v>
                </c:pt>
                <c:pt idx="97">
                  <c:v>3.98995298376546</c:v>
                </c:pt>
                <c:pt idx="98">
                  <c:v>4.92599114666918</c:v>
                </c:pt>
                <c:pt idx="99">
                  <c:v>6.00185738550846</c:v>
                </c:pt>
                <c:pt idx="100">
                  <c:v>7.2167874094701</c:v>
                </c:pt>
                <c:pt idx="101">
                  <c:v>8.56383613126962</c:v>
                </c:pt>
                <c:pt idx="102">
                  <c:v>10.0290311607661</c:v>
                </c:pt>
                <c:pt idx="103">
                  <c:v>11.5908639631751</c:v>
                </c:pt>
                <c:pt idx="104">
                  <c:v>13.2202245736841</c:v>
                </c:pt>
                <c:pt idx="105">
                  <c:v>14.8808607376633</c:v>
                </c:pt>
                <c:pt idx="106">
                  <c:v>16.5304040064964</c:v>
                </c:pt>
                <c:pt idx="107">
                  <c:v>18.1219563242124</c:v>
                </c:pt>
                <c:pt idx="108">
                  <c:v>19.6061755381633</c:v>
                </c:pt>
                <c:pt idx="109">
                  <c:v>20.9337430800568</c:v>
                </c:pt>
                <c:pt idx="110">
                  <c:v>22.0580485731134</c:v>
                </c:pt>
                <c:pt idx="111">
                  <c:v>22.9378909408976</c:v>
                </c:pt>
                <c:pt idx="112">
                  <c:v>23.5399791689683</c:v>
                </c:pt>
                <c:pt idx="113">
                  <c:v>23.8410215715575</c:v>
                </c:pt>
                <c:pt idx="114">
                  <c:v>23.829220887918</c:v>
                </c:pt>
                <c:pt idx="115">
                  <c:v>23.5050414414257</c:v>
                </c:pt>
                <c:pt idx="116">
                  <c:v>22.8811788230259</c:v>
                </c:pt>
                <c:pt idx="117">
                  <c:v>21.9817348581377</c:v>
                </c:pt>
                <c:pt idx="118">
                  <c:v>20.8406725921994</c:v>
                </c:pt>
                <c:pt idx="119">
                  <c:v>19.4996893397754</c:v>
                </c:pt>
                <c:pt idx="120">
                  <c:v>18.0056933636204</c:v>
                </c:pt>
                <c:pt idx="121">
                  <c:v>16.4080965586519</c:v>
                </c:pt>
                <c:pt idx="122">
                  <c:v>14.7561394985551</c:v>
                </c:pt>
                <c:pt idx="123">
                  <c:v>13.0964472242529</c:v>
                </c:pt>
                <c:pt idx="124">
                  <c:v>11.4709777657005</c:v>
                </c:pt>
                <c:pt idx="125">
                  <c:v>9.91547615819269</c:v>
                </c:pt>
                <c:pt idx="126">
                  <c:v>8.45849130285801</c:v>
                </c:pt>
                <c:pt idx="127">
                  <c:v>7.12095818293255</c:v>
                </c:pt>
                <c:pt idx="128">
                  <c:v>5.91629961575734</c:v>
                </c:pt>
                <c:pt idx="129">
                  <c:v>4.85096431254341</c:v>
                </c:pt>
                <c:pt idx="130">
                  <c:v>3.9252940455831</c:v>
                </c:pt>
                <c:pt idx="131">
                  <c:v>3.13460272796776</c:v>
                </c:pt>
                <c:pt idx="132">
                  <c:v>2.47035299294907</c:v>
                </c:pt>
                <c:pt idx="133">
                  <c:v>1.92132891264337</c:v>
                </c:pt>
                <c:pt idx="134">
                  <c:v>1.47472355622254</c:v>
                </c:pt>
                <c:pt idx="135">
                  <c:v>1.11708369408255</c:v>
                </c:pt>
                <c:pt idx="136">
                  <c:v>0.835077925100085</c:v>
                </c:pt>
                <c:pt idx="137">
                  <c:v>0.616076283148193</c:v>
                </c:pt>
                <c:pt idx="138">
                  <c:v>0.44854722363848</c:v>
                </c:pt>
                <c:pt idx="139">
                  <c:v>0.322290906033757</c:v>
                </c:pt>
                <c:pt idx="140">
                  <c:v>0.228535738938733</c:v>
                </c:pt>
                <c:pt idx="141">
                  <c:v>0.15992869587538</c:v>
                </c:pt>
                <c:pt idx="142">
                  <c:v>0.11044978170344</c:v>
                </c:pt>
                <c:pt idx="143">
                  <c:v>0.0752782516044902</c:v>
                </c:pt>
                <c:pt idx="144">
                  <c:v>0.0506337836280916</c:v>
                </c:pt>
                <c:pt idx="145">
                  <c:v>0.0336106905177618</c:v>
                </c:pt>
                <c:pt idx="146">
                  <c:v>0.0220181428159932</c:v>
                </c:pt>
                <c:pt idx="147">
                  <c:v>0.0142347593547243</c:v>
                </c:pt>
                <c:pt idx="148">
                  <c:v>0.00908208936009044</c:v>
                </c:pt>
                <c:pt idx="149">
                  <c:v>0.00571857218589989</c:v>
                </c:pt>
                <c:pt idx="150">
                  <c:v>0.00355349444100571</c:v>
                </c:pt>
                <c:pt idx="151">
                  <c:v>0.00217916376564432</c:v>
                </c:pt>
                <c:pt idx="152">
                  <c:v>0.00131883448158142</c:v>
                </c:pt>
                <c:pt idx="153">
                  <c:v>0.000787692868934712</c:v>
                </c:pt>
                <c:pt idx="154">
                  <c:v>0.000464290427745863</c:v>
                </c:pt>
                <c:pt idx="155">
                  <c:v>0.000270077709607888</c:v>
                </c:pt>
                <c:pt idx="156">
                  <c:v>0.000155043637823871</c:v>
                </c:pt>
                <c:pt idx="157">
                  <c:v>8.78385895295053e-5</c:v>
                </c:pt>
                <c:pt idx="158">
                  <c:v>4.9111472195459e-5</c:v>
                </c:pt>
                <c:pt idx="159">
                  <c:v>2.70985933838902e-5</c:v>
                </c:pt>
                <c:pt idx="160">
                  <c:v>1.4756274979917e-5</c:v>
                </c:pt>
                <c:pt idx="161">
                  <c:v>7.9299952409598e-6</c:v>
                </c:pt>
                <c:pt idx="162">
                  <c:v>4.20567113348178e-6</c:v>
                </c:pt>
                <c:pt idx="163">
                  <c:v>2.20122222133847e-6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25114950"/>
        <c:axId val="566853749"/>
      </c:lineChart>
      <c:catAx>
        <c:axId val="825114950"/>
        <c:scaling>
          <c:orientation val="minMax"/>
        </c:scaling>
        <c:delete val="1"/>
        <c:axPos val="b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595959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</a:p>
        </c:txPr>
        <c:crossAx val="566853749"/>
        <c:crosses val="autoZero"/>
        <c:auto val="1"/>
        <c:lblAlgn val="ctr"/>
        <c:lblOffset val="100"/>
        <c:noMultiLvlLbl val="0"/>
      </c:catAx>
      <c:valAx>
        <c:axId val="566853749"/>
        <c:scaling>
          <c:orientation val="minMax"/>
        </c:scaling>
        <c:delete val="1"/>
        <c:axPos val="l"/>
        <c:numFmt formatCode="0.000_ 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595959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</a:p>
        </c:txPr>
        <c:crossAx val="82511495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42e6af64-88f6-4bb1-b8fd-6f3bb52fee15}"/>
      </c:ext>
    </c:extLst>
  </c:chart>
  <c:spPr>
    <a:noFill/>
    <a:ln w="6350" cap="flat" cmpd="sng" algn="ctr">
      <a:noFill/>
      <a:prstDash val="solid"/>
      <a:round/>
    </a:ln>
  </c:spPr>
  <c:txPr>
    <a:bodyPr wrap="square"/>
    <a:lstStyle/>
    <a:p>
      <a:pPr>
        <a:defRPr lang="zh-CN"/>
      </a:pPr>
    </a:p>
  </c:txPr>
  <c:externalData r:id="rId1">
    <c:autoUpdate val="0"/>
  </c:externalData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200" b="1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sz="1200">
                <a:solidFill>
                  <a:schemeClr val="accent5">
                    <a:lumMod val="75000"/>
                  </a:schemeClr>
                </a:solidFill>
              </a:rPr>
              <a:t>样品分布图</a:t>
            </a:r>
            <a:endParaRPr sz="1200">
              <a:solidFill>
                <a:schemeClr val="accent5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313561721404303"/>
          <c:y val="0.025082114063899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274631936579841"/>
          <c:y val="0.190504628247238"/>
          <c:w val="0.962910532276331"/>
          <c:h val="0.6167214093759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'X-R控制图'!$BN$19</c:f>
              <c:strCache>
                <c:ptCount val="1"/>
                <c:pt idx="0">
                  <c:v>直方图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trendline>
            <c:spPr>
              <a:ln w="22225" cap="rnd" cmpd="sng" algn="ctr">
                <a:solidFill>
                  <a:srgbClr val="7030A0"/>
                </a:solidFill>
                <a:prstDash val="sysDot"/>
                <a:round/>
              </a:ln>
            </c:spPr>
            <c:trendlineType val="movingAvg"/>
            <c:period val="2"/>
            <c:dispRSqr val="0"/>
            <c:dispEq val="0"/>
          </c:trendline>
          <c:cat>
            <c:numRef>
              <c:f>'X-R控制图'!$BL$20:$BL$31</c:f>
              <c:numCache>
                <c:formatCode>0.000_ </c:formatCode>
                <c:ptCount val="12"/>
                <c:pt idx="0" c:formatCode="0.000_ ">
                  <c:v>1.64897276698194</c:v>
                </c:pt>
                <c:pt idx="1" c:formatCode="0.000_ ">
                  <c:v>1.65426941358556</c:v>
                </c:pt>
                <c:pt idx="2" c:formatCode="0.000_ ">
                  <c:v>1.65956606018917</c:v>
                </c:pt>
                <c:pt idx="3" c:formatCode="0.000_ ">
                  <c:v>1.66486270679278</c:v>
                </c:pt>
                <c:pt idx="4" c:formatCode="0.000_ ">
                  <c:v>1.67015935339639</c:v>
                </c:pt>
                <c:pt idx="5" c:formatCode="0.000_ ">
                  <c:v>1.675456</c:v>
                </c:pt>
                <c:pt idx="6" c:formatCode="0.000_ ">
                  <c:v>1.68075264660361</c:v>
                </c:pt>
                <c:pt idx="7" c:formatCode="0.000_ ">
                  <c:v>1.68604929320722</c:v>
                </c:pt>
                <c:pt idx="8" c:formatCode="0.000_ ">
                  <c:v>1.69134593981083</c:v>
                </c:pt>
                <c:pt idx="9" c:formatCode="0.000_ ">
                  <c:v>1.69664258641445</c:v>
                </c:pt>
                <c:pt idx="10" c:formatCode="0.000_ ">
                  <c:v>1.70193923301806</c:v>
                </c:pt>
                <c:pt idx="11" c:formatCode="0.000_ ">
                  <c:v>1.70723587962167</c:v>
                </c:pt>
              </c:numCache>
            </c:numRef>
          </c:cat>
          <c:val>
            <c:numRef>
              <c:f>'X-R控制图'!$BO$20:$BO$31</c:f>
              <c:numCache>
                <c:formatCode>General</c:formatCode>
                <c:ptCount val="12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13</c:v>
                </c:pt>
                <c:pt idx="4">
                  <c:v>12</c:v>
                </c:pt>
                <c:pt idx="5">
                  <c:v>21</c:v>
                </c:pt>
                <c:pt idx="6">
                  <c:v>16</c:v>
                </c:pt>
                <c:pt idx="7">
                  <c:v>21</c:v>
                </c:pt>
                <c:pt idx="8">
                  <c:v>12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53"/>
        <c:axId val="329202683"/>
        <c:axId val="896690694"/>
      </c:barChart>
      <c:catAx>
        <c:axId val="329202683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96690694"/>
        <c:crosses val="autoZero"/>
        <c:auto val="1"/>
        <c:lblAlgn val="ctr"/>
        <c:lblOffset val="100"/>
        <c:noMultiLvlLbl val="0"/>
      </c:catAx>
      <c:valAx>
        <c:axId val="89669069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92026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fee1a5bb-433e-4716-9d87-000c3e3736d4}"/>
      </c:ext>
    </c:extLst>
  </c:chart>
  <c:spPr>
    <a:noFill/>
    <a:ln w="6350" cap="flat" cmpd="sng" algn="ctr">
      <a:noFill/>
      <a:prstDash val="solid"/>
      <a:round/>
    </a:ln>
  </c:spPr>
  <c:txPr>
    <a:bodyPr wrap="square"/>
    <a:lstStyle/>
    <a:p>
      <a:pPr>
        <a:defRPr lang="zh-CN"/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67448200654307"/>
          <c:y val="0.108234646103002"/>
          <c:w val="0.878203380588877"/>
          <c:h val="0.765629303222253"/>
        </c:manualLayout>
      </c:layout>
      <c:lineChart>
        <c:grouping val="standard"/>
        <c:varyColors val="0"/>
        <c:ser>
          <c:idx val="0"/>
          <c:order val="0"/>
          <c:tx>
            <c:strRef>
              <c:f>'X-R控制图'!$B$16</c:f>
              <c:strCache>
                <c:ptCount val="1"/>
                <c:pt idx="0">
                  <c:v>极差R</c:v>
                </c:pt>
              </c:strCache>
            </c:strRef>
          </c:tx>
          <c:spPr>
            <a:ln w="25400" cap="rnd" cmpd="sng" algn="ctr">
              <a:solidFill>
                <a:srgbClr val="002060"/>
              </a:solidFill>
              <a:prstDash val="solid"/>
              <a:round/>
            </a:ln>
            <a:sp3d contourW="25400"/>
          </c:spPr>
          <c:marker>
            <c:symbol val="x"/>
            <c:size val="5"/>
            <c:spPr>
              <a:ln w="15875" cap="flat" cmpd="sng" algn="ctr">
                <a:solidFill>
                  <a:srgbClr val="91038F"/>
                </a:solidFill>
                <a:prstDash val="solid"/>
                <a:round/>
              </a:ln>
            </c:spPr>
          </c:marker>
          <c:dLbls>
            <c:delete val="1"/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'X-R控制图'!$C$16:$AA$16</c:f>
              <c:numCache>
                <c:formatCode>0.000_ </c:formatCode>
                <c:ptCount val="25"/>
                <c:pt idx="0">
                  <c:v>0.00499999999999989</c:v>
                </c:pt>
                <c:pt idx="1">
                  <c:v>0.014</c:v>
                </c:pt>
                <c:pt idx="2">
                  <c:v>0.0109999999999999</c:v>
                </c:pt>
                <c:pt idx="3">
                  <c:v>0.014</c:v>
                </c:pt>
                <c:pt idx="4">
                  <c:v>0.0170000000000001</c:v>
                </c:pt>
                <c:pt idx="5">
                  <c:v>0.00800000000000001</c:v>
                </c:pt>
                <c:pt idx="6">
                  <c:v>0.012</c:v>
                </c:pt>
                <c:pt idx="7">
                  <c:v>0.016</c:v>
                </c:pt>
                <c:pt idx="8">
                  <c:v>0.0130000000000001</c:v>
                </c:pt>
                <c:pt idx="9">
                  <c:v>0.0110000000000001</c:v>
                </c:pt>
                <c:pt idx="10">
                  <c:v>0.018</c:v>
                </c:pt>
                <c:pt idx="11">
                  <c:v>0.0130000000000001</c:v>
                </c:pt>
                <c:pt idx="12">
                  <c:v>0.014</c:v>
                </c:pt>
                <c:pt idx="13">
                  <c:v>0.014</c:v>
                </c:pt>
                <c:pt idx="14">
                  <c:v>0.0109999999999999</c:v>
                </c:pt>
                <c:pt idx="15">
                  <c:v>0.00800000000000001</c:v>
                </c:pt>
                <c:pt idx="16">
                  <c:v>0.0110000000000001</c:v>
                </c:pt>
                <c:pt idx="17">
                  <c:v>0.0089999999999999</c:v>
                </c:pt>
                <c:pt idx="18">
                  <c:v>0.01</c:v>
                </c:pt>
                <c:pt idx="19">
                  <c:v>0.0150000000000001</c:v>
                </c:pt>
                <c:pt idx="20">
                  <c:v>0.014</c:v>
                </c:pt>
                <c:pt idx="21">
                  <c:v>0.014</c:v>
                </c:pt>
                <c:pt idx="22">
                  <c:v>0.016</c:v>
                </c:pt>
                <c:pt idx="23">
                  <c:v>0.012</c:v>
                </c:pt>
                <c:pt idx="24">
                  <c:v>0.00800000000000001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'X-R控制图'!$AE$20</c:f>
              <c:strCache>
                <c:ptCount val="1"/>
                <c:pt idx="0">
                  <c:v>UCL</c:v>
                </c:pt>
              </c:strCache>
            </c:strRef>
          </c:tx>
          <c:spPr>
            <a:ln w="9525" cap="rnd" cmpd="sng" algn="ctr">
              <a:solidFill>
                <a:srgbClr val="FF0000"/>
              </a:solidFill>
              <a:prstDash val="solid"/>
              <a:round/>
            </a:ln>
            <a:sp3d contourW="9525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'X-R控制图'!$AF$20:$BD$20</c:f>
              <c:numCache>
                <c:formatCode>0.000_ </c:formatCode>
                <c:ptCount val="25"/>
                <c:pt idx="0">
                  <c:v>0.02604448</c:v>
                </c:pt>
                <c:pt idx="1">
                  <c:v>0.02604448</c:v>
                </c:pt>
                <c:pt idx="2">
                  <c:v>0.02604448</c:v>
                </c:pt>
                <c:pt idx="3">
                  <c:v>0.02604448</c:v>
                </c:pt>
                <c:pt idx="4">
                  <c:v>0.02604448</c:v>
                </c:pt>
                <c:pt idx="5">
                  <c:v>0.02604448</c:v>
                </c:pt>
                <c:pt idx="6">
                  <c:v>0.02604448</c:v>
                </c:pt>
                <c:pt idx="7">
                  <c:v>0.02604448</c:v>
                </c:pt>
                <c:pt idx="8">
                  <c:v>0.02604448</c:v>
                </c:pt>
                <c:pt idx="9">
                  <c:v>0.02604448</c:v>
                </c:pt>
                <c:pt idx="10">
                  <c:v>0.02604448</c:v>
                </c:pt>
                <c:pt idx="11">
                  <c:v>0.02604448</c:v>
                </c:pt>
                <c:pt idx="12">
                  <c:v>0.02604448</c:v>
                </c:pt>
                <c:pt idx="13">
                  <c:v>0.02604448</c:v>
                </c:pt>
                <c:pt idx="14">
                  <c:v>0.02604448</c:v>
                </c:pt>
                <c:pt idx="15">
                  <c:v>0.02604448</c:v>
                </c:pt>
                <c:pt idx="16">
                  <c:v>0.02604448</c:v>
                </c:pt>
                <c:pt idx="17">
                  <c:v>0.02604448</c:v>
                </c:pt>
                <c:pt idx="18">
                  <c:v>0.02604448</c:v>
                </c:pt>
                <c:pt idx="19">
                  <c:v>0.02604448</c:v>
                </c:pt>
                <c:pt idx="20">
                  <c:v>0.02604448</c:v>
                </c:pt>
                <c:pt idx="21">
                  <c:v>0.02604448</c:v>
                </c:pt>
                <c:pt idx="22">
                  <c:v>0.02604448</c:v>
                </c:pt>
                <c:pt idx="23">
                  <c:v>0.02604448</c:v>
                </c:pt>
                <c:pt idx="24">
                  <c:v>0.02604448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'X-R控制图'!$AE$21</c:f>
              <c:strCache>
                <c:ptCount val="1"/>
                <c:pt idx="0">
                  <c:v>U2σ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'X-R控制图'!$AF$21:$BD$21</c:f>
              <c:numCache>
                <c:formatCode>0.000_ </c:formatCode>
                <c:ptCount val="25"/>
                <c:pt idx="0">
                  <c:v>0.0229132932072227</c:v>
                </c:pt>
                <c:pt idx="1">
                  <c:v>0.0229132932072227</c:v>
                </c:pt>
                <c:pt idx="2">
                  <c:v>0.0229132932072227</c:v>
                </c:pt>
                <c:pt idx="3">
                  <c:v>0.0229132932072227</c:v>
                </c:pt>
                <c:pt idx="4">
                  <c:v>0.0229132932072227</c:v>
                </c:pt>
                <c:pt idx="5">
                  <c:v>0.0229132932072227</c:v>
                </c:pt>
                <c:pt idx="6">
                  <c:v>0.0229132932072227</c:v>
                </c:pt>
                <c:pt idx="7">
                  <c:v>0.0229132932072227</c:v>
                </c:pt>
                <c:pt idx="8">
                  <c:v>0.0229132932072227</c:v>
                </c:pt>
                <c:pt idx="9">
                  <c:v>0.0229132932072227</c:v>
                </c:pt>
                <c:pt idx="10">
                  <c:v>0.0229132932072227</c:v>
                </c:pt>
                <c:pt idx="11">
                  <c:v>0.0229132932072227</c:v>
                </c:pt>
                <c:pt idx="12">
                  <c:v>0.0229132932072227</c:v>
                </c:pt>
                <c:pt idx="13">
                  <c:v>0.0229132932072227</c:v>
                </c:pt>
                <c:pt idx="14">
                  <c:v>0.0229132932072227</c:v>
                </c:pt>
                <c:pt idx="15">
                  <c:v>0.0229132932072227</c:v>
                </c:pt>
                <c:pt idx="16">
                  <c:v>0.0229132932072227</c:v>
                </c:pt>
                <c:pt idx="17">
                  <c:v>0.0229132932072227</c:v>
                </c:pt>
                <c:pt idx="18">
                  <c:v>0.0229132932072227</c:v>
                </c:pt>
                <c:pt idx="19">
                  <c:v>0.0229132932072227</c:v>
                </c:pt>
                <c:pt idx="20">
                  <c:v>0.0229132932072227</c:v>
                </c:pt>
                <c:pt idx="21">
                  <c:v>0.0229132932072227</c:v>
                </c:pt>
                <c:pt idx="22">
                  <c:v>0.0229132932072227</c:v>
                </c:pt>
                <c:pt idx="23">
                  <c:v>0.0229132932072227</c:v>
                </c:pt>
                <c:pt idx="24">
                  <c:v>0.0229132932072227</c:v>
                </c:pt>
              </c:numCache>
            </c:numRef>
          </c:val>
          <c:smooth val="0"/>
        </c:ser>
        <c:ser>
          <c:idx val="5"/>
          <c:order val="3"/>
          <c:tx>
            <c:strRef>
              <c:f>'X-R控制图'!$AE$22</c:f>
              <c:strCache>
                <c:ptCount val="1"/>
                <c:pt idx="0">
                  <c:v>U1σ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'X-R控制图'!$AF$22:$BD$22</c:f>
              <c:numCache>
                <c:formatCode>0.000_ </c:formatCode>
                <c:ptCount val="25"/>
                <c:pt idx="0">
                  <c:v>0.0176166466036114</c:v>
                </c:pt>
                <c:pt idx="1">
                  <c:v>0.0176166466036114</c:v>
                </c:pt>
                <c:pt idx="2">
                  <c:v>0.0176166466036114</c:v>
                </c:pt>
                <c:pt idx="3">
                  <c:v>0.0176166466036114</c:v>
                </c:pt>
                <c:pt idx="4">
                  <c:v>0.0176166466036114</c:v>
                </c:pt>
                <c:pt idx="5">
                  <c:v>0.0176166466036114</c:v>
                </c:pt>
                <c:pt idx="6">
                  <c:v>0.0176166466036114</c:v>
                </c:pt>
                <c:pt idx="7">
                  <c:v>0.0176166466036114</c:v>
                </c:pt>
                <c:pt idx="8">
                  <c:v>0.0176166466036114</c:v>
                </c:pt>
                <c:pt idx="9">
                  <c:v>0.0176166466036114</c:v>
                </c:pt>
                <c:pt idx="10">
                  <c:v>0.0176166466036114</c:v>
                </c:pt>
                <c:pt idx="11">
                  <c:v>0.0176166466036114</c:v>
                </c:pt>
                <c:pt idx="12">
                  <c:v>0.0176166466036114</c:v>
                </c:pt>
                <c:pt idx="13">
                  <c:v>0.0176166466036114</c:v>
                </c:pt>
                <c:pt idx="14">
                  <c:v>0.0176166466036114</c:v>
                </c:pt>
                <c:pt idx="15">
                  <c:v>0.0176166466036114</c:v>
                </c:pt>
                <c:pt idx="16">
                  <c:v>0.0176166466036114</c:v>
                </c:pt>
                <c:pt idx="17">
                  <c:v>0.0176166466036114</c:v>
                </c:pt>
                <c:pt idx="18">
                  <c:v>0.0176166466036114</c:v>
                </c:pt>
                <c:pt idx="19">
                  <c:v>0.0176166466036114</c:v>
                </c:pt>
                <c:pt idx="20">
                  <c:v>0.0176166466036114</c:v>
                </c:pt>
                <c:pt idx="21">
                  <c:v>0.0176166466036114</c:v>
                </c:pt>
                <c:pt idx="22">
                  <c:v>0.0176166466036114</c:v>
                </c:pt>
                <c:pt idx="23">
                  <c:v>0.0176166466036114</c:v>
                </c:pt>
                <c:pt idx="24">
                  <c:v>0.0176166466036114</c:v>
                </c:pt>
              </c:numCache>
            </c:numRef>
          </c:val>
          <c:smooth val="0"/>
        </c:ser>
        <c:ser>
          <c:idx val="2"/>
          <c:order val="4"/>
          <c:tx>
            <c:strRef>
              <c:f>'X-R控制图'!$AE$23</c:f>
              <c:strCache>
                <c:ptCount val="1"/>
                <c:pt idx="0">
                  <c:v>CL</c:v>
                </c:pt>
              </c:strCache>
            </c:strRef>
          </c:tx>
          <c:spPr>
            <a:ln w="12700" cap="rnd" cmpd="sng" algn="ctr">
              <a:solidFill>
                <a:srgbClr val="00B050"/>
              </a:solidFill>
              <a:prstDash val="solid"/>
              <a:round/>
            </a:ln>
            <a:sp3d contourW="1270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0">
                  <a:spAutoFit/>
                </a:bodyPr>
                <a:lstStyle/>
                <a:p>
                  <a:pPr>
                    <a:defRPr lang="zh-CN" sz="1000" b="0" i="0" u="none" strike="noStrike" kern="1200" baseline="0">
                      <a:solidFill>
                        <a:srgbClr val="10101C">
                          <a:alpha val="100000"/>
                        </a:srgbClr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'X-R控制图'!$AF$23:$BD$23</c:f>
              <c:numCache>
                <c:formatCode>0.000_ </c:formatCode>
                <c:ptCount val="25"/>
                <c:pt idx="0">
                  <c:v>0.01232</c:v>
                </c:pt>
                <c:pt idx="1">
                  <c:v>0.01232</c:v>
                </c:pt>
                <c:pt idx="2">
                  <c:v>0.01232</c:v>
                </c:pt>
                <c:pt idx="3">
                  <c:v>0.01232</c:v>
                </c:pt>
                <c:pt idx="4">
                  <c:v>0.01232</c:v>
                </c:pt>
                <c:pt idx="5">
                  <c:v>0.01232</c:v>
                </c:pt>
                <c:pt idx="6">
                  <c:v>0.01232</c:v>
                </c:pt>
                <c:pt idx="7">
                  <c:v>0.01232</c:v>
                </c:pt>
                <c:pt idx="8">
                  <c:v>0.01232</c:v>
                </c:pt>
                <c:pt idx="9">
                  <c:v>0.01232</c:v>
                </c:pt>
                <c:pt idx="10">
                  <c:v>0.01232</c:v>
                </c:pt>
                <c:pt idx="11">
                  <c:v>0.01232</c:v>
                </c:pt>
                <c:pt idx="12">
                  <c:v>0.01232</c:v>
                </c:pt>
                <c:pt idx="13">
                  <c:v>0.01232</c:v>
                </c:pt>
                <c:pt idx="14">
                  <c:v>0.01232</c:v>
                </c:pt>
                <c:pt idx="15">
                  <c:v>0.01232</c:v>
                </c:pt>
                <c:pt idx="16">
                  <c:v>0.01232</c:v>
                </c:pt>
                <c:pt idx="17">
                  <c:v>0.01232</c:v>
                </c:pt>
                <c:pt idx="18">
                  <c:v>0.01232</c:v>
                </c:pt>
                <c:pt idx="19">
                  <c:v>0.01232</c:v>
                </c:pt>
                <c:pt idx="20">
                  <c:v>0.01232</c:v>
                </c:pt>
                <c:pt idx="21">
                  <c:v>0.01232</c:v>
                </c:pt>
                <c:pt idx="22">
                  <c:v>0.01232</c:v>
                </c:pt>
                <c:pt idx="23">
                  <c:v>0.01232</c:v>
                </c:pt>
                <c:pt idx="24">
                  <c:v>0.01232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'X-R控制图'!$AE$24</c:f>
              <c:strCache>
                <c:ptCount val="1"/>
                <c:pt idx="0">
                  <c:v>L1σ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pPr>
              <a:ln w="9525" cap="flat" cmpd="sng" algn="ctr">
                <a:noFill/>
                <a:prstDash val="solid"/>
                <a:round/>
              </a:ln>
            </c:spPr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numFmt formatCode="General" sourceLinked="1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0"/>
                <a:lstStyle/>
                <a:p>
                  <a:pPr>
                    <a:defRPr lang="zh-CN" sz="1000" b="0" i="0" u="none" strike="noStrike" kern="1200" baseline="0">
                      <a:solidFill>
                        <a:srgbClr val="10101C">
                          <a:alpha val="100000"/>
                        </a:srgbClr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'X-R控制图'!$AF$24:$BD$24</c:f>
              <c:numCache>
                <c:formatCode>0.000_ </c:formatCode>
                <c:ptCount val="25"/>
                <c:pt idx="0">
                  <c:v>0.00702335339638866</c:v>
                </c:pt>
                <c:pt idx="1">
                  <c:v>0.00702335339638866</c:v>
                </c:pt>
                <c:pt idx="2">
                  <c:v>0.00702335339638866</c:v>
                </c:pt>
                <c:pt idx="3">
                  <c:v>0.00702335339638866</c:v>
                </c:pt>
                <c:pt idx="4">
                  <c:v>0.00702335339638866</c:v>
                </c:pt>
                <c:pt idx="5">
                  <c:v>0.00702335339638866</c:v>
                </c:pt>
                <c:pt idx="6">
                  <c:v>0.00702335339638866</c:v>
                </c:pt>
                <c:pt idx="7">
                  <c:v>0.00702335339638866</c:v>
                </c:pt>
                <c:pt idx="8">
                  <c:v>0.00702335339638866</c:v>
                </c:pt>
                <c:pt idx="9">
                  <c:v>0.00702335339638866</c:v>
                </c:pt>
                <c:pt idx="10">
                  <c:v>0.00702335339638866</c:v>
                </c:pt>
                <c:pt idx="11">
                  <c:v>0.00702335339638866</c:v>
                </c:pt>
                <c:pt idx="12">
                  <c:v>0.00702335339638866</c:v>
                </c:pt>
                <c:pt idx="13">
                  <c:v>0.00702335339638866</c:v>
                </c:pt>
                <c:pt idx="14">
                  <c:v>0.00702335339638866</c:v>
                </c:pt>
                <c:pt idx="15">
                  <c:v>0.00702335339638866</c:v>
                </c:pt>
                <c:pt idx="16">
                  <c:v>0.00702335339638866</c:v>
                </c:pt>
                <c:pt idx="17">
                  <c:v>0.00702335339638866</c:v>
                </c:pt>
                <c:pt idx="18">
                  <c:v>0.00702335339638866</c:v>
                </c:pt>
                <c:pt idx="19">
                  <c:v>0.00702335339638866</c:v>
                </c:pt>
                <c:pt idx="20">
                  <c:v>0.00702335339638866</c:v>
                </c:pt>
                <c:pt idx="21">
                  <c:v>0.00702335339638866</c:v>
                </c:pt>
                <c:pt idx="22">
                  <c:v>0.00702335339638866</c:v>
                </c:pt>
                <c:pt idx="23">
                  <c:v>0.00702335339638866</c:v>
                </c:pt>
                <c:pt idx="24">
                  <c:v>0.00702335339638866</c:v>
                </c:pt>
              </c:numCache>
            </c:numRef>
          </c:val>
          <c:smooth val="0"/>
        </c:ser>
        <c:ser>
          <c:idx val="7"/>
          <c:order val="6"/>
          <c:tx>
            <c:strRef>
              <c:f>'X-R控制图'!$AE$25</c:f>
              <c:strCache>
                <c:ptCount val="1"/>
                <c:pt idx="0">
                  <c:v>L2σ</c:v>
                </c:pt>
              </c:strCache>
            </c:strRef>
          </c:tx>
          <c:spPr>
            <a:ln w="19050" cap="rnd" cmpd="sng" algn="ctr">
              <a:solidFill>
                <a:srgbClr val="0070C0"/>
              </a:solidFill>
              <a:prstDash val="sysDot"/>
              <a:round/>
            </a:ln>
            <a:sp3d contourW="19050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'X-R控制图'!$AF$25:$BD$25</c:f>
              <c:numCache>
                <c:formatCode>0.000_ </c:formatCode>
                <c:ptCount val="25"/>
                <c:pt idx="0">
                  <c:v>0.0017267067927773</c:v>
                </c:pt>
                <c:pt idx="1">
                  <c:v>0.0017267067927773</c:v>
                </c:pt>
                <c:pt idx="2">
                  <c:v>0.0017267067927773</c:v>
                </c:pt>
                <c:pt idx="3">
                  <c:v>0.0017267067927773</c:v>
                </c:pt>
                <c:pt idx="4">
                  <c:v>0.0017267067927773</c:v>
                </c:pt>
                <c:pt idx="5">
                  <c:v>0.0017267067927773</c:v>
                </c:pt>
                <c:pt idx="6">
                  <c:v>0.0017267067927773</c:v>
                </c:pt>
                <c:pt idx="7">
                  <c:v>0.0017267067927773</c:v>
                </c:pt>
                <c:pt idx="8">
                  <c:v>0.0017267067927773</c:v>
                </c:pt>
                <c:pt idx="9">
                  <c:v>0.0017267067927773</c:v>
                </c:pt>
                <c:pt idx="10">
                  <c:v>0.0017267067927773</c:v>
                </c:pt>
                <c:pt idx="11">
                  <c:v>0.0017267067927773</c:v>
                </c:pt>
                <c:pt idx="12">
                  <c:v>0.0017267067927773</c:v>
                </c:pt>
                <c:pt idx="13">
                  <c:v>0.0017267067927773</c:v>
                </c:pt>
                <c:pt idx="14">
                  <c:v>0.0017267067927773</c:v>
                </c:pt>
                <c:pt idx="15">
                  <c:v>0.0017267067927773</c:v>
                </c:pt>
                <c:pt idx="16">
                  <c:v>0.0017267067927773</c:v>
                </c:pt>
                <c:pt idx="17">
                  <c:v>0.0017267067927773</c:v>
                </c:pt>
                <c:pt idx="18">
                  <c:v>0.0017267067927773</c:v>
                </c:pt>
                <c:pt idx="19">
                  <c:v>0.0017267067927773</c:v>
                </c:pt>
                <c:pt idx="20">
                  <c:v>0.0017267067927773</c:v>
                </c:pt>
                <c:pt idx="21">
                  <c:v>0.0017267067927773</c:v>
                </c:pt>
                <c:pt idx="22">
                  <c:v>0.0017267067927773</c:v>
                </c:pt>
                <c:pt idx="23">
                  <c:v>0.0017267067927773</c:v>
                </c:pt>
                <c:pt idx="24">
                  <c:v>0.0017267067927773</c:v>
                </c:pt>
              </c:numCache>
            </c:numRef>
          </c:val>
          <c:smooth val="0"/>
        </c:ser>
        <c:ser>
          <c:idx val="3"/>
          <c:order val="7"/>
          <c:tx>
            <c:strRef>
              <c:f>'X-R控制图'!$AE$26</c:f>
              <c:strCache>
                <c:ptCount val="1"/>
                <c:pt idx="0">
                  <c:v>LCL</c:v>
                </c:pt>
              </c:strCache>
            </c:strRef>
          </c:tx>
          <c:spPr>
            <a:ln w="9525" cap="rnd" cmpd="sng" algn="ctr">
              <a:solidFill>
                <a:srgbClr val="FF0000"/>
              </a:solidFill>
              <a:prstDash val="solid"/>
              <a:round/>
            </a:ln>
            <a:sp3d contourW="9525"/>
          </c:spPr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layout/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0579603122128818"/>
                      <c:h val="0.0780679060669606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10101C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cat>
            <c:strRef>
              <c:f>'X-R控制图'!$C$5:$AA$5</c:f>
              <c:strCache>
                <c:ptCount val="25"/>
                <c:pt idx="0" c:formatCode="0&quot;组&quot;">
                  <c:v>1组</c:v>
                </c:pt>
                <c:pt idx="1" c:formatCode="0.00_);[Red]\(0.00\)">
                  <c:v>2组</c:v>
                </c:pt>
                <c:pt idx="2" c:formatCode="0.00_);[Red]\(0.00\)">
                  <c:v>3组</c:v>
                </c:pt>
                <c:pt idx="3" c:formatCode="0.00_);[Red]\(0.00\)">
                  <c:v>4组</c:v>
                </c:pt>
                <c:pt idx="4" c:formatCode="0.00_);[Red]\(0.00\)">
                  <c:v>5组</c:v>
                </c:pt>
                <c:pt idx="5" c:formatCode="0.00_);[Red]\(0.00\)">
                  <c:v>6组</c:v>
                </c:pt>
                <c:pt idx="6" c:formatCode="0.00_);[Red]\(0.00\)">
                  <c:v>7组</c:v>
                </c:pt>
                <c:pt idx="7" c:formatCode="0.00_);[Red]\(0.00\)">
                  <c:v>8组</c:v>
                </c:pt>
                <c:pt idx="8" c:formatCode="0.00_);[Red]\(0.00\)">
                  <c:v>9组</c:v>
                </c:pt>
                <c:pt idx="9" c:formatCode="0.00_);[Red]\(0.00\)">
                  <c:v>10组</c:v>
                </c:pt>
                <c:pt idx="10" c:formatCode="0.00_);[Red]\(0.00\)">
                  <c:v>11组</c:v>
                </c:pt>
                <c:pt idx="11" c:formatCode="0.00_);[Red]\(0.00\)">
                  <c:v>12组</c:v>
                </c:pt>
                <c:pt idx="12" c:formatCode="0.00_);[Red]\(0.00\)">
                  <c:v>13组</c:v>
                </c:pt>
                <c:pt idx="13" c:formatCode="0.00_);[Red]\(0.00\)">
                  <c:v>14组</c:v>
                </c:pt>
                <c:pt idx="14" c:formatCode="0.00_);[Red]\(0.00\)">
                  <c:v>15组</c:v>
                </c:pt>
                <c:pt idx="15" c:formatCode="0.00_);[Red]\(0.00\)">
                  <c:v>16组</c:v>
                </c:pt>
                <c:pt idx="16" c:formatCode="0.00_);[Red]\(0.00\)">
                  <c:v>17组</c:v>
                </c:pt>
                <c:pt idx="17" c:formatCode="0.00_);[Red]\(0.00\)">
                  <c:v>18组</c:v>
                </c:pt>
                <c:pt idx="18" c:formatCode="0.00_);[Red]\(0.00\)">
                  <c:v>19组</c:v>
                </c:pt>
                <c:pt idx="19" c:formatCode="0.00_);[Red]\(0.00\)">
                  <c:v>20组</c:v>
                </c:pt>
                <c:pt idx="20" c:formatCode="0.00_);[Red]\(0.00\)">
                  <c:v>21组</c:v>
                </c:pt>
                <c:pt idx="21" c:formatCode="0.00_);[Red]\(0.00\)">
                  <c:v>22组</c:v>
                </c:pt>
                <c:pt idx="22" c:formatCode="0.00_);[Red]\(0.00\)">
                  <c:v>23组</c:v>
                </c:pt>
                <c:pt idx="23" c:formatCode="0.00_);[Red]\(0.00\)">
                  <c:v>24组</c:v>
                </c:pt>
                <c:pt idx="24" c:formatCode="0.00_);[Red]\(0.00\)">
                  <c:v>25组</c:v>
                </c:pt>
              </c:strCache>
            </c:strRef>
          </c:cat>
          <c:val>
            <c:numRef>
              <c:f>'X-R控制图'!$AF$26:$BD$26</c:f>
              <c:numCache>
                <c:formatCode>0.000_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1"/>
        <c:axId val="176347529"/>
        <c:axId val="709522425"/>
      </c:lineChart>
      <c:catAx>
        <c:axId val="176347529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10101C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709522425"/>
        <c:crosses val="autoZero"/>
        <c:auto val="1"/>
        <c:lblAlgn val="ctr"/>
        <c:lblOffset val="100"/>
        <c:noMultiLvlLbl val="0"/>
      </c:catAx>
      <c:valAx>
        <c:axId val="709522425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prstDash val="solid"/>
              <a:round/>
            </a:ln>
          </c:spPr>
        </c:majorGridlines>
        <c:numFmt formatCode="0.000_);[Red]\(0.000\)" sourceLinked="0"/>
        <c:majorTickMark val="out"/>
        <c:minorTickMark val="none"/>
        <c:tickLblPos val="nextTo"/>
        <c:spPr>
          <a:ln w="9525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10101C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176347529"/>
        <c:crosses val="autoZero"/>
        <c:crossBetween val="between"/>
      </c:valAx>
      <c:spPr>
        <a:noFill/>
        <a:ln w="12700" cmpd="sng">
          <a:noFill/>
          <a:prstDash val="sysDash"/>
        </a:ln>
        <a:effectLst/>
      </c:spPr>
    </c:plotArea>
    <c:legend>
      <c:legendPos val="t"/>
      <c:layout>
        <c:manualLayout>
          <c:xMode val="edge"/>
          <c:yMode val="edge"/>
          <c:x val="0.163430509245214"/>
          <c:y val="0.0321675126272918"/>
          <c:w val="0.770418712845697"/>
          <c:h val="0.0824145534729879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rgbClr val="10101C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37fafce-449b-446f-ba84-c3b98baab958}"/>
      </c:ext>
    </c:extLst>
  </c:chart>
  <c:spPr>
    <a:noFill/>
    <a:ln w="9525" cap="flat" cmpd="sng" algn="ctr">
      <a:noFill/>
      <a:prstDash val="solid"/>
      <a:round/>
    </a:ln>
  </c:spPr>
  <c:txPr>
    <a:bodyPr rot="0" vert="eaVert" wrap="square" anchor="ctr" anchorCtr="1"/>
    <a:lstStyle/>
    <a:p>
      <a:pPr>
        <a:defRPr lang="zh-CN" sz="1000" b="0" i="0" u="none" strike="noStrike" baseline="0">
          <a:solidFill>
            <a:srgbClr val="10101C">
              <a:alpha val="100000"/>
            </a:srgbClr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82550</xdr:colOff>
      <xdr:row>17</xdr:row>
      <xdr:rowOff>66675</xdr:rowOff>
    </xdr:from>
    <xdr:to>
      <xdr:col>16</xdr:col>
      <xdr:colOff>454025</xdr:colOff>
      <xdr:row>26</xdr:row>
      <xdr:rowOff>210820</xdr:rowOff>
    </xdr:to>
    <xdr:graphicFrame>
      <xdr:nvGraphicFramePr>
        <xdr:cNvPr id="524390" name="图表 6"/>
        <xdr:cNvGraphicFramePr/>
      </xdr:nvGraphicFramePr>
      <xdr:xfrm>
        <a:off x="295275" y="4025900"/>
        <a:ext cx="9953625" cy="24301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410210</xdr:colOff>
      <xdr:row>17</xdr:row>
      <xdr:rowOff>56515</xdr:rowOff>
    </xdr:from>
    <xdr:to>
      <xdr:col>20</xdr:col>
      <xdr:colOff>449580</xdr:colOff>
      <xdr:row>26</xdr:row>
      <xdr:rowOff>163830</xdr:rowOff>
    </xdr:to>
    <xdr:graphicFrame>
      <xdr:nvGraphicFramePr>
        <xdr:cNvPr id="3" name="图表 2"/>
        <xdr:cNvGraphicFramePr/>
      </xdr:nvGraphicFramePr>
      <xdr:xfrm>
        <a:off x="10205085" y="4015740"/>
        <a:ext cx="2594610" cy="23933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435610</xdr:colOff>
      <xdr:row>28</xdr:row>
      <xdr:rowOff>94615</xdr:rowOff>
    </xdr:from>
    <xdr:to>
      <xdr:col>20</xdr:col>
      <xdr:colOff>452755</xdr:colOff>
      <xdr:row>38</xdr:row>
      <xdr:rowOff>11430</xdr:rowOff>
    </xdr:to>
    <xdr:graphicFrame>
      <xdr:nvGraphicFramePr>
        <xdr:cNvPr id="5" name="图表 4"/>
        <xdr:cNvGraphicFramePr/>
      </xdr:nvGraphicFramePr>
      <xdr:xfrm>
        <a:off x="10230485" y="6771640"/>
        <a:ext cx="2572385" cy="24568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23495</xdr:colOff>
      <xdr:row>37</xdr:row>
      <xdr:rowOff>182880</xdr:rowOff>
    </xdr:from>
    <xdr:to>
      <xdr:col>16</xdr:col>
      <xdr:colOff>524510</xdr:colOff>
      <xdr:row>46</xdr:row>
      <xdr:rowOff>230505</xdr:rowOff>
    </xdr:to>
    <xdr:graphicFrame>
      <xdr:nvGraphicFramePr>
        <xdr:cNvPr id="2" name="图表 14"/>
        <xdr:cNvGraphicFramePr/>
      </xdr:nvGraphicFramePr>
      <xdr:xfrm>
        <a:off x="7901940" y="9145905"/>
        <a:ext cx="2417445" cy="2168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70485</xdr:colOff>
      <xdr:row>38</xdr:row>
      <xdr:rowOff>130175</xdr:rowOff>
    </xdr:from>
    <xdr:to>
      <xdr:col>20</xdr:col>
      <xdr:colOff>531495</xdr:colOff>
      <xdr:row>47</xdr:row>
      <xdr:rowOff>205740</xdr:rowOff>
    </xdr:to>
    <xdr:graphicFrame>
      <xdr:nvGraphicFramePr>
        <xdr:cNvPr id="6" name="图表 7"/>
        <xdr:cNvGraphicFramePr/>
      </xdr:nvGraphicFramePr>
      <xdr:xfrm>
        <a:off x="10504170" y="9347200"/>
        <a:ext cx="2377440" cy="21837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22225</xdr:colOff>
      <xdr:row>17</xdr:row>
      <xdr:rowOff>86360</xdr:rowOff>
    </xdr:from>
    <xdr:ext cx="393700" cy="2260600"/>
    <xdr:sp>
      <xdr:nvSpPr>
        <xdr:cNvPr id="7" name="文本框 6"/>
        <xdr:cNvSpPr txBox="1"/>
      </xdr:nvSpPr>
      <xdr:spPr>
        <a:xfrm>
          <a:off x="234950" y="4045585"/>
          <a:ext cx="393700" cy="22606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 anchorCtr="0"/>
        <a:p>
          <a:pPr algn="ctr"/>
          <a:r>
            <a:rPr lang="zh-CN" altLang="en-US" sz="1200" b="1">
              <a:solidFill>
                <a:srgbClr val="002060"/>
              </a:solidFill>
            </a:rPr>
            <a:t>平均值</a:t>
          </a:r>
          <a:r>
            <a:rPr lang="en-US" altLang="zh-CN" sz="1200" b="1">
              <a:solidFill>
                <a:srgbClr val="002060"/>
              </a:solidFill>
            </a:rPr>
            <a:t>X</a:t>
          </a:r>
          <a:r>
            <a:rPr lang="zh-CN" altLang="en-US" sz="1200" b="1">
              <a:solidFill>
                <a:srgbClr val="002060"/>
              </a:solidFill>
            </a:rPr>
            <a:t>管制图</a:t>
          </a:r>
          <a:endParaRPr lang="zh-CN" altLang="en-US" sz="1200" b="1">
            <a:solidFill>
              <a:srgbClr val="002060"/>
            </a:solidFill>
          </a:endParaRPr>
        </a:p>
      </xdr:txBody>
    </xdr:sp>
    <xdr:clientData/>
  </xdr:oneCellAnchor>
  <xdr:oneCellAnchor>
    <xdr:from>
      <xdr:col>1</xdr:col>
      <xdr:colOff>12065</xdr:colOff>
      <xdr:row>28</xdr:row>
      <xdr:rowOff>67310</xdr:rowOff>
    </xdr:from>
    <xdr:ext cx="393700" cy="2260600"/>
    <xdr:sp>
      <xdr:nvSpPr>
        <xdr:cNvPr id="8" name="文本框 7"/>
        <xdr:cNvSpPr txBox="1"/>
      </xdr:nvSpPr>
      <xdr:spPr>
        <a:xfrm>
          <a:off x="224790" y="6744335"/>
          <a:ext cx="393700" cy="22606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 anchorCtr="0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 b="1">
              <a:solidFill>
                <a:srgbClr val="002060"/>
              </a:solidFill>
            </a:rPr>
            <a:t>差极值R管制图</a:t>
          </a:r>
          <a:endParaRPr lang="zh-CN" altLang="en-US" sz="1200" b="1">
            <a:solidFill>
              <a:srgbClr val="002060"/>
            </a:solidFill>
          </a:endParaRPr>
        </a:p>
      </xdr:txBody>
    </xdr:sp>
    <xdr:clientData/>
  </xdr:oneCellAnchor>
  <xdr:twoCellAnchor>
    <xdr:from>
      <xdr:col>1</xdr:col>
      <xdr:colOff>60325</xdr:colOff>
      <xdr:row>28</xdr:row>
      <xdr:rowOff>0</xdr:rowOff>
    </xdr:from>
    <xdr:to>
      <xdr:col>16</xdr:col>
      <xdr:colOff>431800</xdr:colOff>
      <xdr:row>37</xdr:row>
      <xdr:rowOff>144145</xdr:rowOff>
    </xdr:to>
    <xdr:graphicFrame>
      <xdr:nvGraphicFramePr>
        <xdr:cNvPr id="9" name="图表 6"/>
        <xdr:cNvGraphicFramePr/>
      </xdr:nvGraphicFramePr>
      <xdr:xfrm>
        <a:off x="273050" y="6677025"/>
        <a:ext cx="9953625" cy="24301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65405</xdr:colOff>
      <xdr:row>17</xdr:row>
      <xdr:rowOff>42545</xdr:rowOff>
    </xdr:from>
    <xdr:to>
      <xdr:col>16</xdr:col>
      <xdr:colOff>323215</xdr:colOff>
      <xdr:row>26</xdr:row>
      <xdr:rowOff>200025</xdr:rowOff>
    </xdr:to>
    <xdr:sp>
      <xdr:nvSpPr>
        <xdr:cNvPr id="11" name="矩形 10"/>
        <xdr:cNvSpPr/>
      </xdr:nvSpPr>
      <xdr:spPr>
        <a:xfrm>
          <a:off x="278130" y="4001770"/>
          <a:ext cx="9839960" cy="2443480"/>
        </a:xfrm>
        <a:prstGeom prst="rect">
          <a:avLst/>
        </a:prstGeom>
        <a:noFill/>
        <a:ln w="12700" cap="flat" cmpd="sng" algn="ctr">
          <a:solidFill>
            <a:schemeClr val="accent1">
              <a:shade val="50000"/>
            </a:schemeClr>
          </a:solidFill>
          <a:prstDash val="solid"/>
          <a:round/>
          <a:headEnd type="none" w="med" len="med"/>
          <a:tailEnd type="none" w="med" len="med"/>
        </a:ln>
      </xdr:spPr>
      <xdr:txBody>
        <a:bodyPr vertOverflow="clip" wrap="square" lIns="18288" tIns="0" rIns="0" bIns="0" upright="1"/>
        <a:p>
          <a:endParaRPr lang="zh-CN" altLang="en-US"/>
        </a:p>
      </xdr:txBody>
    </xdr:sp>
    <xdr:clientData/>
  </xdr:twoCellAnchor>
  <xdr:twoCellAnchor>
    <xdr:from>
      <xdr:col>16</xdr:col>
      <xdr:colOff>389890</xdr:colOff>
      <xdr:row>17</xdr:row>
      <xdr:rowOff>31750</xdr:rowOff>
    </xdr:from>
    <xdr:to>
      <xdr:col>20</xdr:col>
      <xdr:colOff>545465</xdr:colOff>
      <xdr:row>26</xdr:row>
      <xdr:rowOff>210185</xdr:rowOff>
    </xdr:to>
    <xdr:sp>
      <xdr:nvSpPr>
        <xdr:cNvPr id="12" name="矩形 11"/>
        <xdr:cNvSpPr/>
      </xdr:nvSpPr>
      <xdr:spPr>
        <a:xfrm>
          <a:off x="10184765" y="3990975"/>
          <a:ext cx="2710815" cy="2464435"/>
        </a:xfrm>
        <a:prstGeom prst="rect">
          <a:avLst/>
        </a:prstGeom>
        <a:noFill/>
        <a:ln w="12700" cap="flat" cmpd="sng" algn="ctr">
          <a:solidFill>
            <a:srgbClr val="00B050"/>
          </a:solidFill>
          <a:prstDash val="solid"/>
          <a:round/>
          <a:headEnd type="none" w="med" len="med"/>
          <a:tailEnd type="none" w="med" len="med"/>
        </a:ln>
      </xdr:spPr>
      <xdr:txBody>
        <a:bodyPr vertOverflow="clip" wrap="square" lIns="18288" tIns="0" rIns="0" bIns="0" upright="1"/>
        <a:p>
          <a:endParaRPr lang="zh-CN" altLang="en-US"/>
        </a:p>
      </xdr:txBody>
    </xdr:sp>
    <xdr:clientData/>
  </xdr:twoCellAnchor>
  <xdr:twoCellAnchor>
    <xdr:from>
      <xdr:col>1</xdr:col>
      <xdr:colOff>65405</xdr:colOff>
      <xdr:row>28</xdr:row>
      <xdr:rowOff>43180</xdr:rowOff>
    </xdr:from>
    <xdr:to>
      <xdr:col>16</xdr:col>
      <xdr:colOff>323215</xdr:colOff>
      <xdr:row>37</xdr:row>
      <xdr:rowOff>200025</xdr:rowOff>
    </xdr:to>
    <xdr:sp>
      <xdr:nvSpPr>
        <xdr:cNvPr id="13" name="矩形 12"/>
        <xdr:cNvSpPr/>
      </xdr:nvSpPr>
      <xdr:spPr>
        <a:xfrm>
          <a:off x="278130" y="6720205"/>
          <a:ext cx="9839960" cy="2442845"/>
        </a:xfrm>
        <a:prstGeom prst="rect">
          <a:avLst/>
        </a:prstGeom>
        <a:noFill/>
        <a:ln w="12700" cap="flat" cmpd="sng" algn="ctr">
          <a:solidFill>
            <a:schemeClr val="accent6">
              <a:lumMod val="75000"/>
            </a:schemeClr>
          </a:solidFill>
          <a:prstDash val="solid"/>
          <a:round/>
          <a:headEnd type="none" w="med" len="med"/>
          <a:tailEnd type="none" w="med" len="med"/>
        </a:ln>
      </xdr:spPr>
      <xdr:txBody>
        <a:bodyPr vertOverflow="clip" wrap="square" lIns="18288" tIns="0" rIns="0" bIns="0" upright="1"/>
        <a:p>
          <a:endParaRPr lang="zh-CN" altLang="en-US"/>
        </a:p>
      </xdr:txBody>
    </xdr:sp>
    <xdr:clientData/>
  </xdr:twoCellAnchor>
  <xdr:twoCellAnchor>
    <xdr:from>
      <xdr:col>16</xdr:col>
      <xdr:colOff>424180</xdr:colOff>
      <xdr:row>28</xdr:row>
      <xdr:rowOff>43180</xdr:rowOff>
    </xdr:from>
    <xdr:to>
      <xdr:col>20</xdr:col>
      <xdr:colOff>546735</xdr:colOff>
      <xdr:row>37</xdr:row>
      <xdr:rowOff>188595</xdr:rowOff>
    </xdr:to>
    <xdr:sp>
      <xdr:nvSpPr>
        <xdr:cNvPr id="14" name="矩形 13"/>
        <xdr:cNvSpPr/>
      </xdr:nvSpPr>
      <xdr:spPr>
        <a:xfrm>
          <a:off x="10219055" y="6720205"/>
          <a:ext cx="2677795" cy="2431415"/>
        </a:xfrm>
        <a:prstGeom prst="rect">
          <a:avLst/>
        </a:prstGeom>
        <a:noFill/>
        <a:ln w="12700" cap="flat" cmpd="sng" algn="ctr">
          <a:solidFill>
            <a:srgbClr val="FFC000"/>
          </a:solidFill>
          <a:prstDash val="solid"/>
          <a:round/>
          <a:headEnd type="none" w="med" len="med"/>
          <a:tailEnd type="none" w="med" len="med"/>
        </a:ln>
      </xdr:spPr>
      <xdr:txBody>
        <a:bodyPr vertOverflow="clip" wrap="square" lIns="18288" tIns="0" rIns="0" bIns="0" upright="1"/>
        <a:p>
          <a:endParaRPr lang="zh-CN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26862;&#26412;&#12288;&#20043;\&#65404;&#65432;&#65437;&#65408;&#65438;&#65392;&#65421;&#65391;&#65412;&#65438;&#22609;&#22411;&#23550;&#31574;&#35201;&#27714;&#31080;\01&#65315;&#65321;&#65334;\&#23550;&#31574;&#35201;&#27714;&#31080;\&#23550;&#31574;&#35201;&#27714;&#65288;&#20225;&#30011;&#22259;&#65289;\&#65327;&#65328;&#35336;&#30011;\OP&#35336;&#30011;&#23550;&#31574;&#35201;&#2771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X-R&#25511;&#21046;&#2227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P計画対策要求"/>
    </sheetNames>
    <definedNames>
      <definedName name="台帳に戻る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blexr"/>
      <sheetName val="X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9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9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1:BU202"/>
  <sheetViews>
    <sheetView tabSelected="1" zoomScale="85" zoomScaleNormal="85" zoomScaleSheetLayoutView="130" topLeftCell="A27" workbookViewId="0">
      <selection activeCell="C16" sqref="C16"/>
    </sheetView>
  </sheetViews>
  <sheetFormatPr defaultColWidth="8.7" defaultRowHeight="15.75"/>
  <cols>
    <col min="1" max="1" width="2.79166666666667" style="5" customWidth="1"/>
    <col min="2" max="27" width="8.38333333333333" style="5" customWidth="1"/>
    <col min="28" max="28" width="14.5583333333333" style="5" customWidth="1"/>
    <col min="29" max="29" width="12.625" style="5"/>
    <col min="30" max="30" width="9" style="5"/>
    <col min="31" max="31" width="7.79166666666667" style="5" customWidth="1"/>
    <col min="32" max="36" width="5.88333333333333" style="5" customWidth="1"/>
    <col min="37" max="37" width="6.76666666666667" style="5" customWidth="1"/>
    <col min="38" max="56" width="5.88333333333333" style="5" customWidth="1"/>
    <col min="57" max="67" width="8.7" style="5"/>
    <col min="68" max="68" width="11.175" style="5" customWidth="1"/>
    <col min="69" max="70" width="9.25833333333333" style="5" customWidth="1"/>
    <col min="71" max="71" width="11.025" style="5" customWidth="1"/>
    <col min="72" max="72" width="9.25833333333333" style="5" customWidth="1"/>
    <col min="73" max="16384" width="8.7" style="5"/>
  </cols>
  <sheetData>
    <row r="1" spans="2:58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ht="29" customHeight="1" spans="2:59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</row>
    <row r="3" ht="22" customHeight="1" spans="2:58">
      <c r="B3" s="8" t="s">
        <v>1</v>
      </c>
      <c r="C3" s="9" t="s">
        <v>2</v>
      </c>
      <c r="D3" s="10"/>
      <c r="E3" s="11" t="s">
        <v>3</v>
      </c>
      <c r="F3" s="12"/>
      <c r="G3" s="13" t="s">
        <v>4</v>
      </c>
      <c r="H3" s="9" t="s">
        <v>5</v>
      </c>
      <c r="I3" s="70"/>
      <c r="J3" s="71">
        <v>1.655</v>
      </c>
      <c r="K3" s="72"/>
      <c r="L3" s="73" t="s">
        <v>6</v>
      </c>
      <c r="M3" s="73"/>
      <c r="N3" s="74">
        <f>+J3+J4</f>
        <v>1.695</v>
      </c>
      <c r="O3" s="74"/>
      <c r="P3" s="13" t="s">
        <v>7</v>
      </c>
      <c r="Q3" s="73" t="s">
        <v>8</v>
      </c>
      <c r="R3" s="73"/>
      <c r="S3" s="90">
        <f>COUNTA(C6:AA13)</f>
        <v>125</v>
      </c>
      <c r="T3" s="90"/>
      <c r="U3" s="13" t="s">
        <v>9</v>
      </c>
      <c r="V3" s="91" t="s">
        <v>10</v>
      </c>
      <c r="W3" s="92"/>
      <c r="X3" s="11">
        <v>3.6</v>
      </c>
      <c r="Y3" s="12"/>
      <c r="Z3" s="91" t="s">
        <v>11</v>
      </c>
      <c r="AA3" s="148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</row>
    <row r="4" ht="22" customHeight="1" spans="2:58">
      <c r="B4" s="14"/>
      <c r="C4" s="15" t="s">
        <v>12</v>
      </c>
      <c r="D4" s="16"/>
      <c r="E4" s="17" t="s">
        <v>13</v>
      </c>
      <c r="F4" s="18"/>
      <c r="G4" s="19"/>
      <c r="H4" s="20" t="s">
        <v>14</v>
      </c>
      <c r="I4" s="20"/>
      <c r="J4" s="75">
        <v>0.04</v>
      </c>
      <c r="K4" s="76">
        <v>0.04</v>
      </c>
      <c r="L4" s="20" t="s">
        <v>15</v>
      </c>
      <c r="M4" s="20"/>
      <c r="N4" s="77">
        <f>+J3-K4</f>
        <v>1.615</v>
      </c>
      <c r="O4" s="77"/>
      <c r="P4" s="19"/>
      <c r="Q4" s="20" t="s">
        <v>16</v>
      </c>
      <c r="R4" s="20"/>
      <c r="S4" s="93">
        <f>COUNTA(C5:AA5)</f>
        <v>25</v>
      </c>
      <c r="T4" s="93"/>
      <c r="U4" s="19"/>
      <c r="V4" s="94" t="s">
        <v>17</v>
      </c>
      <c r="W4" s="95"/>
      <c r="X4" s="17" t="s">
        <v>18</v>
      </c>
      <c r="Y4" s="18"/>
      <c r="Z4" s="149" t="s">
        <v>19</v>
      </c>
      <c r="AA4" s="150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</row>
    <row r="5" s="1" customFormat="1" ht="24" customHeight="1" spans="2:58">
      <c r="B5" s="21" t="s">
        <v>20</v>
      </c>
      <c r="C5" s="22" t="s">
        <v>21</v>
      </c>
      <c r="D5" s="23" t="s">
        <v>22</v>
      </c>
      <c r="E5" s="23" t="s">
        <v>23</v>
      </c>
      <c r="F5" s="23" t="s">
        <v>24</v>
      </c>
      <c r="G5" s="23" t="s">
        <v>25</v>
      </c>
      <c r="H5" s="23" t="s">
        <v>26</v>
      </c>
      <c r="I5" s="23" t="s">
        <v>27</v>
      </c>
      <c r="J5" s="23" t="s">
        <v>28</v>
      </c>
      <c r="K5" s="23" t="s">
        <v>29</v>
      </c>
      <c r="L5" s="23" t="s">
        <v>30</v>
      </c>
      <c r="M5" s="23" t="s">
        <v>31</v>
      </c>
      <c r="N5" s="23" t="s">
        <v>32</v>
      </c>
      <c r="O5" s="23" t="s">
        <v>33</v>
      </c>
      <c r="P5" s="23" t="s">
        <v>34</v>
      </c>
      <c r="Q5" s="23" t="s">
        <v>35</v>
      </c>
      <c r="R5" s="23" t="s">
        <v>36</v>
      </c>
      <c r="S5" s="23" t="s">
        <v>37</v>
      </c>
      <c r="T5" s="23" t="s">
        <v>38</v>
      </c>
      <c r="U5" s="23" t="s">
        <v>39</v>
      </c>
      <c r="V5" s="23" t="s">
        <v>40</v>
      </c>
      <c r="W5" s="23" t="s">
        <v>41</v>
      </c>
      <c r="X5" s="23" t="s">
        <v>42</v>
      </c>
      <c r="Y5" s="23" t="s">
        <v>43</v>
      </c>
      <c r="Z5" s="23" t="s">
        <v>44</v>
      </c>
      <c r="AA5" s="151" t="s">
        <v>45</v>
      </c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</row>
    <row r="6" s="2" customFormat="1" ht="16" customHeight="1" spans="2:58">
      <c r="B6" s="24">
        <f>IF(C6=0,"",ROW()-5)</f>
        <v>1</v>
      </c>
      <c r="C6" s="25">
        <v>1.673</v>
      </c>
      <c r="D6" s="25">
        <v>1.668</v>
      </c>
      <c r="E6" s="25">
        <v>1.667</v>
      </c>
      <c r="F6" s="25">
        <v>1.68</v>
      </c>
      <c r="G6" s="25">
        <v>1.68</v>
      </c>
      <c r="H6" s="25">
        <v>1.684</v>
      </c>
      <c r="I6" s="25">
        <v>1.671</v>
      </c>
      <c r="J6" s="25">
        <v>1.666</v>
      </c>
      <c r="K6" s="25">
        <v>1.668</v>
      </c>
      <c r="L6" s="25">
        <v>1.678</v>
      </c>
      <c r="M6" s="25">
        <v>1.685</v>
      </c>
      <c r="N6" s="25">
        <v>1.684</v>
      </c>
      <c r="O6" s="25">
        <v>1.684</v>
      </c>
      <c r="P6" s="25">
        <v>1.681</v>
      </c>
      <c r="Q6" s="25">
        <v>1.684</v>
      </c>
      <c r="R6" s="25">
        <v>1.669</v>
      </c>
      <c r="S6" s="25">
        <v>1.672</v>
      </c>
      <c r="T6" s="25">
        <v>1.675</v>
      </c>
      <c r="U6" s="25">
        <v>1.68</v>
      </c>
      <c r="V6" s="25">
        <v>1.683</v>
      </c>
      <c r="W6" s="25">
        <v>1.671</v>
      </c>
      <c r="X6" s="25">
        <v>1.676</v>
      </c>
      <c r="Y6" s="25">
        <v>1.665</v>
      </c>
      <c r="Z6" s="25">
        <v>1.679</v>
      </c>
      <c r="AA6" s="153">
        <v>1.672</v>
      </c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</row>
    <row r="7" s="2" customFormat="1" ht="16" customHeight="1" spans="2:73">
      <c r="B7" s="24">
        <f t="shared" ref="B7:B13" si="0">IF(C7=0,"",ROW()-5)</f>
        <v>2</v>
      </c>
      <c r="C7" s="25">
        <v>1.672</v>
      </c>
      <c r="D7" s="25">
        <v>1.671</v>
      </c>
      <c r="E7" s="25">
        <v>1.678</v>
      </c>
      <c r="F7" s="25">
        <v>1.674</v>
      </c>
      <c r="G7" s="25">
        <v>1.666</v>
      </c>
      <c r="H7" s="25">
        <v>1.678</v>
      </c>
      <c r="I7" s="25">
        <v>1.683</v>
      </c>
      <c r="J7" s="25">
        <v>1.682</v>
      </c>
      <c r="K7" s="25">
        <v>1.677</v>
      </c>
      <c r="L7" s="25">
        <v>1.668</v>
      </c>
      <c r="M7" s="25">
        <v>1.684</v>
      </c>
      <c r="N7" s="25">
        <v>1.679</v>
      </c>
      <c r="O7" s="25">
        <v>1.684</v>
      </c>
      <c r="P7" s="25">
        <v>1.679</v>
      </c>
      <c r="Q7" s="25">
        <v>1.676</v>
      </c>
      <c r="R7" s="25">
        <v>1.674</v>
      </c>
      <c r="S7" s="25">
        <v>1.674</v>
      </c>
      <c r="T7" s="25">
        <v>1.667</v>
      </c>
      <c r="U7" s="25">
        <v>1.675</v>
      </c>
      <c r="V7" s="25">
        <v>1.668</v>
      </c>
      <c r="W7" s="25">
        <v>1.666</v>
      </c>
      <c r="X7" s="25">
        <v>1.682</v>
      </c>
      <c r="Y7" s="25">
        <v>1.67</v>
      </c>
      <c r="Z7" s="25">
        <v>1.671</v>
      </c>
      <c r="AA7" s="153">
        <v>1.666</v>
      </c>
      <c r="AB7" s="154"/>
      <c r="AC7" s="154"/>
      <c r="AD7" s="154"/>
      <c r="AE7" s="32" t="s">
        <v>46</v>
      </c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154"/>
      <c r="BF7" s="154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</row>
    <row r="8" s="2" customFormat="1" ht="16" customHeight="1" spans="2:73">
      <c r="B8" s="24">
        <f t="shared" si="0"/>
        <v>3</v>
      </c>
      <c r="C8" s="25">
        <v>1.676</v>
      </c>
      <c r="D8" s="25">
        <v>1.681</v>
      </c>
      <c r="E8" s="25">
        <v>1.676</v>
      </c>
      <c r="F8" s="25">
        <v>1.667</v>
      </c>
      <c r="G8" s="25">
        <v>1.666</v>
      </c>
      <c r="H8" s="25">
        <v>1.681</v>
      </c>
      <c r="I8" s="25">
        <v>1.682</v>
      </c>
      <c r="J8" s="25">
        <v>1.675</v>
      </c>
      <c r="K8" s="25">
        <v>1.679</v>
      </c>
      <c r="L8" s="25">
        <v>1.677</v>
      </c>
      <c r="M8" s="25">
        <v>1.678</v>
      </c>
      <c r="N8" s="25">
        <v>1.676</v>
      </c>
      <c r="O8" s="25">
        <v>1.67</v>
      </c>
      <c r="P8" s="25">
        <v>1.68</v>
      </c>
      <c r="Q8" s="25">
        <v>1.678</v>
      </c>
      <c r="R8" s="25">
        <v>1.669</v>
      </c>
      <c r="S8" s="25">
        <v>1.674</v>
      </c>
      <c r="T8" s="25">
        <v>1.672</v>
      </c>
      <c r="U8" s="25">
        <v>1.67</v>
      </c>
      <c r="V8" s="25">
        <v>1.671</v>
      </c>
      <c r="W8" s="25">
        <v>1.68</v>
      </c>
      <c r="X8" s="25">
        <v>1.682</v>
      </c>
      <c r="Y8" s="25">
        <v>1.668</v>
      </c>
      <c r="Z8" s="25">
        <v>1.67</v>
      </c>
      <c r="AA8" s="153">
        <v>1.668</v>
      </c>
      <c r="AB8" s="154"/>
      <c r="AC8" s="154"/>
      <c r="AD8" s="154"/>
      <c r="AE8" s="23" t="s">
        <v>47</v>
      </c>
      <c r="AF8" s="23" t="s">
        <v>21</v>
      </c>
      <c r="AG8" s="23" t="s">
        <v>22</v>
      </c>
      <c r="AH8" s="23" t="s">
        <v>23</v>
      </c>
      <c r="AI8" s="23" t="s">
        <v>24</v>
      </c>
      <c r="AJ8" s="23" t="s">
        <v>25</v>
      </c>
      <c r="AK8" s="23" t="s">
        <v>26</v>
      </c>
      <c r="AL8" s="23" t="s">
        <v>27</v>
      </c>
      <c r="AM8" s="23" t="s">
        <v>28</v>
      </c>
      <c r="AN8" s="23" t="s">
        <v>29</v>
      </c>
      <c r="AO8" s="23" t="s">
        <v>30</v>
      </c>
      <c r="AP8" s="23" t="s">
        <v>31</v>
      </c>
      <c r="AQ8" s="23" t="s">
        <v>32</v>
      </c>
      <c r="AR8" s="23" t="s">
        <v>33</v>
      </c>
      <c r="AS8" s="23" t="s">
        <v>34</v>
      </c>
      <c r="AT8" s="23" t="s">
        <v>35</v>
      </c>
      <c r="AU8" s="23" t="s">
        <v>36</v>
      </c>
      <c r="AV8" s="23" t="s">
        <v>37</v>
      </c>
      <c r="AW8" s="23" t="s">
        <v>38</v>
      </c>
      <c r="AX8" s="23" t="s">
        <v>39</v>
      </c>
      <c r="AY8" s="23" t="s">
        <v>40</v>
      </c>
      <c r="AZ8" s="23" t="s">
        <v>41</v>
      </c>
      <c r="BA8" s="23" t="s">
        <v>42</v>
      </c>
      <c r="BB8" s="23" t="s">
        <v>43</v>
      </c>
      <c r="BC8" s="23" t="s">
        <v>44</v>
      </c>
      <c r="BD8" s="23" t="s">
        <v>45</v>
      </c>
      <c r="BE8" s="154"/>
      <c r="BF8" s="154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0"/>
    </row>
    <row r="9" s="2" customFormat="1" ht="16" customHeight="1" spans="2:73">
      <c r="B9" s="24">
        <f t="shared" si="0"/>
        <v>4</v>
      </c>
      <c r="C9" s="25">
        <v>1.673</v>
      </c>
      <c r="D9" s="25">
        <v>1.682</v>
      </c>
      <c r="E9" s="25">
        <v>1.667</v>
      </c>
      <c r="F9" s="25">
        <v>1.68</v>
      </c>
      <c r="G9" s="25">
        <v>1.682</v>
      </c>
      <c r="H9" s="25">
        <v>1.676</v>
      </c>
      <c r="I9" s="25">
        <v>1.681</v>
      </c>
      <c r="J9" s="25">
        <v>1.682</v>
      </c>
      <c r="K9" s="25">
        <v>1.678</v>
      </c>
      <c r="L9" s="25">
        <v>1.675</v>
      </c>
      <c r="M9" s="25">
        <v>1.669</v>
      </c>
      <c r="N9" s="25">
        <v>1.672</v>
      </c>
      <c r="O9" s="25">
        <v>1.679</v>
      </c>
      <c r="P9" s="25">
        <v>1.678</v>
      </c>
      <c r="Q9" s="25">
        <v>1.684</v>
      </c>
      <c r="R9" s="25">
        <v>1.674</v>
      </c>
      <c r="S9" s="25">
        <v>1.683</v>
      </c>
      <c r="T9" s="25">
        <v>1.676</v>
      </c>
      <c r="U9" s="25">
        <v>1.672</v>
      </c>
      <c r="V9" s="25">
        <v>1.673</v>
      </c>
      <c r="W9" s="25">
        <v>1.678</v>
      </c>
      <c r="X9" s="25">
        <v>1.674</v>
      </c>
      <c r="Y9" s="25">
        <v>1.681</v>
      </c>
      <c r="Z9" s="25">
        <v>1.675</v>
      </c>
      <c r="AA9" s="153">
        <v>1.674</v>
      </c>
      <c r="AB9" s="154"/>
      <c r="AC9" s="154"/>
      <c r="AD9" s="154"/>
      <c r="AE9" s="23" t="s">
        <v>48</v>
      </c>
      <c r="AF9" s="155">
        <f>X24</f>
        <v>1.68256464</v>
      </c>
      <c r="AG9" s="155">
        <f>$AF$9</f>
        <v>1.68256464</v>
      </c>
      <c r="AH9" s="155">
        <f t="shared" ref="AH9:AQ9" si="1">$AF$9</f>
        <v>1.68256464</v>
      </c>
      <c r="AI9" s="155">
        <f t="shared" si="1"/>
        <v>1.68256464</v>
      </c>
      <c r="AJ9" s="155">
        <f t="shared" si="1"/>
        <v>1.68256464</v>
      </c>
      <c r="AK9" s="155">
        <f t="shared" si="1"/>
        <v>1.68256464</v>
      </c>
      <c r="AL9" s="155">
        <f t="shared" si="1"/>
        <v>1.68256464</v>
      </c>
      <c r="AM9" s="155">
        <f t="shared" si="1"/>
        <v>1.68256464</v>
      </c>
      <c r="AN9" s="155">
        <f t="shared" si="1"/>
        <v>1.68256464</v>
      </c>
      <c r="AO9" s="155">
        <f t="shared" si="1"/>
        <v>1.68256464</v>
      </c>
      <c r="AP9" s="155">
        <f t="shared" si="1"/>
        <v>1.68256464</v>
      </c>
      <c r="AQ9" s="155">
        <f t="shared" si="1"/>
        <v>1.68256464</v>
      </c>
      <c r="AR9" s="155">
        <f t="shared" ref="AR9:BD9" si="2">$AF$9</f>
        <v>1.68256464</v>
      </c>
      <c r="AS9" s="155">
        <f t="shared" si="2"/>
        <v>1.68256464</v>
      </c>
      <c r="AT9" s="155">
        <f t="shared" si="2"/>
        <v>1.68256464</v>
      </c>
      <c r="AU9" s="155">
        <f t="shared" si="2"/>
        <v>1.68256464</v>
      </c>
      <c r="AV9" s="155">
        <f t="shared" si="2"/>
        <v>1.68256464</v>
      </c>
      <c r="AW9" s="155">
        <f t="shared" si="2"/>
        <v>1.68256464</v>
      </c>
      <c r="AX9" s="155">
        <f t="shared" si="2"/>
        <v>1.68256464</v>
      </c>
      <c r="AY9" s="155">
        <f t="shared" si="2"/>
        <v>1.68256464</v>
      </c>
      <c r="AZ9" s="155">
        <f t="shared" si="2"/>
        <v>1.68256464</v>
      </c>
      <c r="BA9" s="155">
        <f t="shared" si="2"/>
        <v>1.68256464</v>
      </c>
      <c r="BB9" s="155">
        <f t="shared" si="2"/>
        <v>1.68256464</v>
      </c>
      <c r="BC9" s="155">
        <f t="shared" si="2"/>
        <v>1.68256464</v>
      </c>
      <c r="BD9" s="155">
        <f t="shared" si="2"/>
        <v>1.68256464</v>
      </c>
      <c r="BE9" s="154"/>
      <c r="BF9" s="154"/>
      <c r="BH9" s="220"/>
      <c r="BI9" s="220"/>
      <c r="BJ9" s="220"/>
      <c r="BK9" s="220"/>
      <c r="BL9" s="221"/>
      <c r="BM9" s="231" t="s">
        <v>49</v>
      </c>
      <c r="BN9" s="231"/>
      <c r="BO9" s="231"/>
      <c r="BP9" s="231"/>
      <c r="BQ9" s="231"/>
      <c r="BR9" s="231"/>
      <c r="BS9" s="231"/>
      <c r="BT9" s="231"/>
      <c r="BU9" s="221"/>
    </row>
    <row r="10" s="2" customFormat="1" ht="16" customHeight="1" spans="2:73">
      <c r="B10" s="24">
        <f t="shared" si="0"/>
        <v>5</v>
      </c>
      <c r="C10" s="25">
        <v>1.671</v>
      </c>
      <c r="D10" s="25">
        <v>1.681</v>
      </c>
      <c r="E10" s="25">
        <v>1.675</v>
      </c>
      <c r="F10" s="25">
        <v>1.681</v>
      </c>
      <c r="G10" s="25">
        <v>1.683</v>
      </c>
      <c r="H10" s="25">
        <v>1.677</v>
      </c>
      <c r="I10" s="25">
        <v>1.683</v>
      </c>
      <c r="J10" s="25">
        <v>1.681</v>
      </c>
      <c r="K10" s="25">
        <v>1.666</v>
      </c>
      <c r="L10" s="25">
        <v>1.679</v>
      </c>
      <c r="M10" s="25">
        <v>1.667</v>
      </c>
      <c r="N10" s="25">
        <v>1.685</v>
      </c>
      <c r="O10" s="25">
        <v>1.678</v>
      </c>
      <c r="P10" s="25">
        <v>1.667</v>
      </c>
      <c r="Q10" s="25">
        <v>1.673</v>
      </c>
      <c r="R10" s="25">
        <v>1.677</v>
      </c>
      <c r="S10" s="25">
        <v>1.677</v>
      </c>
      <c r="T10" s="25">
        <v>1.676</v>
      </c>
      <c r="U10" s="25">
        <v>1.677</v>
      </c>
      <c r="V10" s="25">
        <v>1.677</v>
      </c>
      <c r="W10" s="25">
        <v>1.672</v>
      </c>
      <c r="X10" s="25">
        <v>1.668</v>
      </c>
      <c r="Y10" s="25">
        <v>1.679</v>
      </c>
      <c r="Z10" s="25">
        <v>1.667</v>
      </c>
      <c r="AA10" s="153">
        <v>1.672</v>
      </c>
      <c r="AB10" s="154"/>
      <c r="AC10" s="154"/>
      <c r="AD10" s="154"/>
      <c r="AE10" s="23" t="s">
        <v>50</v>
      </c>
      <c r="AF10" s="155">
        <f>IF(COUNT($C$6:$AA$13)=0,"",X25+2*X27)</f>
        <v>1.68019509333333</v>
      </c>
      <c r="AG10" s="155">
        <f>$AF$10</f>
        <v>1.68019509333333</v>
      </c>
      <c r="AH10" s="155">
        <f t="shared" ref="AH10:AQ10" si="3">$AF$10</f>
        <v>1.68019509333333</v>
      </c>
      <c r="AI10" s="155">
        <f t="shared" si="3"/>
        <v>1.68019509333333</v>
      </c>
      <c r="AJ10" s="155">
        <f t="shared" si="3"/>
        <v>1.68019509333333</v>
      </c>
      <c r="AK10" s="155">
        <f t="shared" si="3"/>
        <v>1.68019509333333</v>
      </c>
      <c r="AL10" s="155">
        <f t="shared" si="3"/>
        <v>1.68019509333333</v>
      </c>
      <c r="AM10" s="155">
        <f t="shared" si="3"/>
        <v>1.68019509333333</v>
      </c>
      <c r="AN10" s="155">
        <f t="shared" si="3"/>
        <v>1.68019509333333</v>
      </c>
      <c r="AO10" s="155">
        <f t="shared" si="3"/>
        <v>1.68019509333333</v>
      </c>
      <c r="AP10" s="155">
        <f t="shared" si="3"/>
        <v>1.68019509333333</v>
      </c>
      <c r="AQ10" s="155">
        <f t="shared" si="3"/>
        <v>1.68019509333333</v>
      </c>
      <c r="AR10" s="155">
        <f t="shared" ref="AR10:BD10" si="4">$AF$10</f>
        <v>1.68019509333333</v>
      </c>
      <c r="AS10" s="155">
        <f t="shared" si="4"/>
        <v>1.68019509333333</v>
      </c>
      <c r="AT10" s="155">
        <f t="shared" si="4"/>
        <v>1.68019509333333</v>
      </c>
      <c r="AU10" s="155">
        <f t="shared" si="4"/>
        <v>1.68019509333333</v>
      </c>
      <c r="AV10" s="155">
        <f t="shared" si="4"/>
        <v>1.68019509333333</v>
      </c>
      <c r="AW10" s="155">
        <f t="shared" si="4"/>
        <v>1.68019509333333</v>
      </c>
      <c r="AX10" s="155">
        <f t="shared" si="4"/>
        <v>1.68019509333333</v>
      </c>
      <c r="AY10" s="155">
        <f t="shared" si="4"/>
        <v>1.68019509333333</v>
      </c>
      <c r="AZ10" s="155">
        <f t="shared" si="4"/>
        <v>1.68019509333333</v>
      </c>
      <c r="BA10" s="155">
        <f t="shared" si="4"/>
        <v>1.68019509333333</v>
      </c>
      <c r="BB10" s="155">
        <f t="shared" si="4"/>
        <v>1.68019509333333</v>
      </c>
      <c r="BC10" s="155">
        <f t="shared" si="4"/>
        <v>1.68019509333333</v>
      </c>
      <c r="BD10" s="155">
        <f t="shared" si="4"/>
        <v>1.68019509333333</v>
      </c>
      <c r="BE10" s="154"/>
      <c r="BF10" s="154"/>
      <c r="BH10" s="220"/>
      <c r="BI10" s="220"/>
      <c r="BJ10" s="220"/>
      <c r="BK10" s="220"/>
      <c r="BL10" s="221"/>
      <c r="BM10" s="231"/>
      <c r="BN10" s="231"/>
      <c r="BO10" s="231"/>
      <c r="BP10" s="231"/>
      <c r="BQ10" s="231"/>
      <c r="BR10" s="231"/>
      <c r="BS10" s="231"/>
      <c r="BT10" s="231"/>
      <c r="BU10" s="221"/>
    </row>
    <row r="11" s="3" customFormat="1" ht="16" customHeight="1" spans="2:73">
      <c r="B11" s="24" t="str">
        <f t="shared" si="0"/>
        <v/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153"/>
      <c r="AB11" s="154"/>
      <c r="AC11" s="156"/>
      <c r="AD11" s="156"/>
      <c r="AE11" s="23" t="s">
        <v>51</v>
      </c>
      <c r="AF11" s="155">
        <f>IF(COUNT(C6:AA13)=0,"",X25+X27)</f>
        <v>1.67782554666667</v>
      </c>
      <c r="AG11" s="155">
        <f>$AF$11</f>
        <v>1.67782554666667</v>
      </c>
      <c r="AH11" s="155">
        <f t="shared" ref="AH11:AQ11" si="5">$AF$11</f>
        <v>1.67782554666667</v>
      </c>
      <c r="AI11" s="155">
        <f t="shared" si="5"/>
        <v>1.67782554666667</v>
      </c>
      <c r="AJ11" s="155">
        <f t="shared" si="5"/>
        <v>1.67782554666667</v>
      </c>
      <c r="AK11" s="155">
        <f t="shared" si="5"/>
        <v>1.67782554666667</v>
      </c>
      <c r="AL11" s="155">
        <f t="shared" si="5"/>
        <v>1.67782554666667</v>
      </c>
      <c r="AM11" s="155">
        <f t="shared" si="5"/>
        <v>1.67782554666667</v>
      </c>
      <c r="AN11" s="155">
        <f t="shared" si="5"/>
        <v>1.67782554666667</v>
      </c>
      <c r="AO11" s="155">
        <f t="shared" si="5"/>
        <v>1.67782554666667</v>
      </c>
      <c r="AP11" s="155">
        <f t="shared" si="5"/>
        <v>1.67782554666667</v>
      </c>
      <c r="AQ11" s="155">
        <f t="shared" si="5"/>
        <v>1.67782554666667</v>
      </c>
      <c r="AR11" s="155">
        <f t="shared" ref="AR11:BD11" si="6">$AF$11</f>
        <v>1.67782554666667</v>
      </c>
      <c r="AS11" s="155">
        <f t="shared" si="6"/>
        <v>1.67782554666667</v>
      </c>
      <c r="AT11" s="155">
        <f t="shared" si="6"/>
        <v>1.67782554666667</v>
      </c>
      <c r="AU11" s="155">
        <f t="shared" si="6"/>
        <v>1.67782554666667</v>
      </c>
      <c r="AV11" s="155">
        <f t="shared" si="6"/>
        <v>1.67782554666667</v>
      </c>
      <c r="AW11" s="155">
        <f t="shared" si="6"/>
        <v>1.67782554666667</v>
      </c>
      <c r="AX11" s="155">
        <f t="shared" si="6"/>
        <v>1.67782554666667</v>
      </c>
      <c r="AY11" s="155">
        <f t="shared" si="6"/>
        <v>1.67782554666667</v>
      </c>
      <c r="AZ11" s="155">
        <f t="shared" si="6"/>
        <v>1.67782554666667</v>
      </c>
      <c r="BA11" s="155">
        <f t="shared" si="6"/>
        <v>1.67782554666667</v>
      </c>
      <c r="BB11" s="155">
        <f t="shared" si="6"/>
        <v>1.67782554666667</v>
      </c>
      <c r="BC11" s="155">
        <f t="shared" si="6"/>
        <v>1.67782554666667</v>
      </c>
      <c r="BD11" s="155">
        <f t="shared" si="6"/>
        <v>1.67782554666667</v>
      </c>
      <c r="BE11" s="156"/>
      <c r="BF11" s="156"/>
      <c r="BH11" s="220"/>
      <c r="BI11" s="220"/>
      <c r="BJ11" s="222"/>
      <c r="BK11" s="223"/>
      <c r="BL11" s="224"/>
      <c r="BM11" s="232" t="s">
        <v>52</v>
      </c>
      <c r="BN11" s="232"/>
      <c r="BO11" s="226"/>
      <c r="BP11" s="232" t="s">
        <v>49</v>
      </c>
      <c r="BQ11" s="232"/>
      <c r="BR11" s="226"/>
      <c r="BS11" s="232" t="s">
        <v>53</v>
      </c>
      <c r="BT11" s="232"/>
      <c r="BU11" s="226"/>
    </row>
    <row r="12" s="4" customFormat="1" ht="16" customHeight="1" spans="2:73">
      <c r="B12" s="24" t="str">
        <f t="shared" si="0"/>
        <v/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53"/>
      <c r="AB12" s="154"/>
      <c r="AC12" s="157"/>
      <c r="AD12" s="157"/>
      <c r="AE12" s="23" t="s">
        <v>54</v>
      </c>
      <c r="AF12" s="155">
        <f>X25</f>
        <v>1.675456</v>
      </c>
      <c r="AG12" s="155">
        <f>$AF$12</f>
        <v>1.675456</v>
      </c>
      <c r="AH12" s="155">
        <f t="shared" ref="AH12:AQ12" si="7">$AF$12</f>
        <v>1.675456</v>
      </c>
      <c r="AI12" s="155">
        <f t="shared" si="7"/>
        <v>1.675456</v>
      </c>
      <c r="AJ12" s="155">
        <f t="shared" si="7"/>
        <v>1.675456</v>
      </c>
      <c r="AK12" s="155">
        <f t="shared" si="7"/>
        <v>1.675456</v>
      </c>
      <c r="AL12" s="155">
        <f t="shared" si="7"/>
        <v>1.675456</v>
      </c>
      <c r="AM12" s="155">
        <f t="shared" si="7"/>
        <v>1.675456</v>
      </c>
      <c r="AN12" s="155">
        <f t="shared" si="7"/>
        <v>1.675456</v>
      </c>
      <c r="AO12" s="155">
        <f t="shared" si="7"/>
        <v>1.675456</v>
      </c>
      <c r="AP12" s="155">
        <f t="shared" si="7"/>
        <v>1.675456</v>
      </c>
      <c r="AQ12" s="155">
        <f t="shared" si="7"/>
        <v>1.675456</v>
      </c>
      <c r="AR12" s="155">
        <f t="shared" ref="AR12:BD12" si="8">$AF$12</f>
        <v>1.675456</v>
      </c>
      <c r="AS12" s="155">
        <f t="shared" si="8"/>
        <v>1.675456</v>
      </c>
      <c r="AT12" s="155">
        <f t="shared" si="8"/>
        <v>1.675456</v>
      </c>
      <c r="AU12" s="155">
        <f t="shared" si="8"/>
        <v>1.675456</v>
      </c>
      <c r="AV12" s="155">
        <f t="shared" si="8"/>
        <v>1.675456</v>
      </c>
      <c r="AW12" s="155">
        <f t="shared" si="8"/>
        <v>1.675456</v>
      </c>
      <c r="AX12" s="155">
        <f t="shared" si="8"/>
        <v>1.675456</v>
      </c>
      <c r="AY12" s="155">
        <f t="shared" si="8"/>
        <v>1.675456</v>
      </c>
      <c r="AZ12" s="155">
        <f t="shared" si="8"/>
        <v>1.675456</v>
      </c>
      <c r="BA12" s="155">
        <f t="shared" si="8"/>
        <v>1.675456</v>
      </c>
      <c r="BB12" s="155">
        <f t="shared" si="8"/>
        <v>1.675456</v>
      </c>
      <c r="BC12" s="155">
        <f t="shared" si="8"/>
        <v>1.675456</v>
      </c>
      <c r="BD12" s="155">
        <f t="shared" si="8"/>
        <v>1.675456</v>
      </c>
      <c r="BE12" s="157"/>
      <c r="BF12" s="157"/>
      <c r="BH12" s="220"/>
      <c r="BI12" s="225"/>
      <c r="BJ12" s="222"/>
      <c r="BK12" s="223"/>
      <c r="BL12" s="226"/>
      <c r="BM12" s="228" t="s">
        <v>55</v>
      </c>
      <c r="BN12" s="227">
        <f>IF(COUNT(C6:AA13)=0,"",(N3+N4)/2)</f>
        <v>1.655</v>
      </c>
      <c r="BO12" s="230"/>
      <c r="BP12" s="227" t="s">
        <v>56</v>
      </c>
      <c r="BQ12" s="227">
        <f>IF(COUNT(C6:AA13)=0,"",(BN13-BN14)/X22)</f>
        <v>0.000640000000000001</v>
      </c>
      <c r="BR12" s="230"/>
      <c r="BS12" s="227" t="s">
        <v>57</v>
      </c>
      <c r="BT12" s="233">
        <f>IF(COUNT(C6:AA13)=0,"",ROUNDUP(SQRT(COUNT(C6:AA10)),0))</f>
        <v>12</v>
      </c>
      <c r="BU12" s="230"/>
    </row>
    <row r="13" ht="16" customHeight="1" spans="2:73">
      <c r="B13" s="24" t="str">
        <f t="shared" si="0"/>
        <v/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153"/>
      <c r="AB13" s="154"/>
      <c r="AC13" s="6"/>
      <c r="AD13" s="6"/>
      <c r="AE13" s="23" t="s">
        <v>58</v>
      </c>
      <c r="AF13" s="155">
        <f>IF(COUNT(C6:AA13)=0,"",X25-X27)</f>
        <v>1.67308645333333</v>
      </c>
      <c r="AG13" s="155">
        <f>$AF$13</f>
        <v>1.67308645333333</v>
      </c>
      <c r="AH13" s="155">
        <f t="shared" ref="AH13:AQ13" si="9">$AF$13</f>
        <v>1.67308645333333</v>
      </c>
      <c r="AI13" s="155">
        <f t="shared" si="9"/>
        <v>1.67308645333333</v>
      </c>
      <c r="AJ13" s="155">
        <f t="shared" si="9"/>
        <v>1.67308645333333</v>
      </c>
      <c r="AK13" s="155">
        <f t="shared" si="9"/>
        <v>1.67308645333333</v>
      </c>
      <c r="AL13" s="155">
        <f t="shared" si="9"/>
        <v>1.67308645333333</v>
      </c>
      <c r="AM13" s="155">
        <f t="shared" si="9"/>
        <v>1.67308645333333</v>
      </c>
      <c r="AN13" s="155">
        <f t="shared" si="9"/>
        <v>1.67308645333333</v>
      </c>
      <c r="AO13" s="155">
        <f t="shared" si="9"/>
        <v>1.67308645333333</v>
      </c>
      <c r="AP13" s="155">
        <f t="shared" si="9"/>
        <v>1.67308645333333</v>
      </c>
      <c r="AQ13" s="155">
        <f t="shared" si="9"/>
        <v>1.67308645333333</v>
      </c>
      <c r="AR13" s="155">
        <f t="shared" ref="AR13:BD13" si="10">$AF$13</f>
        <v>1.67308645333333</v>
      </c>
      <c r="AS13" s="155">
        <f t="shared" si="10"/>
        <v>1.67308645333333</v>
      </c>
      <c r="AT13" s="155">
        <f t="shared" si="10"/>
        <v>1.67308645333333</v>
      </c>
      <c r="AU13" s="155">
        <f t="shared" si="10"/>
        <v>1.67308645333333</v>
      </c>
      <c r="AV13" s="155">
        <f t="shared" si="10"/>
        <v>1.67308645333333</v>
      </c>
      <c r="AW13" s="155">
        <f t="shared" si="10"/>
        <v>1.67308645333333</v>
      </c>
      <c r="AX13" s="155">
        <f t="shared" si="10"/>
        <v>1.67308645333333</v>
      </c>
      <c r="AY13" s="155">
        <f t="shared" si="10"/>
        <v>1.67308645333333</v>
      </c>
      <c r="AZ13" s="155">
        <f t="shared" si="10"/>
        <v>1.67308645333333</v>
      </c>
      <c r="BA13" s="155">
        <f t="shared" si="10"/>
        <v>1.67308645333333</v>
      </c>
      <c r="BB13" s="155">
        <f t="shared" si="10"/>
        <v>1.67308645333333</v>
      </c>
      <c r="BC13" s="155">
        <f t="shared" si="10"/>
        <v>1.67308645333333</v>
      </c>
      <c r="BD13" s="155">
        <f t="shared" si="10"/>
        <v>1.67308645333333</v>
      </c>
      <c r="BE13" s="6"/>
      <c r="BF13" s="6"/>
      <c r="BH13" s="220"/>
      <c r="BI13" s="225"/>
      <c r="BJ13" s="222"/>
      <c r="BK13" s="223"/>
      <c r="BL13" s="226"/>
      <c r="BM13" s="228" t="s">
        <v>59</v>
      </c>
      <c r="BN13" s="227">
        <f>IF(COUNT(C6:AA13)=0,"",N3)</f>
        <v>1.695</v>
      </c>
      <c r="BO13" s="230"/>
      <c r="BP13" s="227"/>
      <c r="BQ13" s="227"/>
      <c r="BR13" s="230"/>
      <c r="BS13" s="227" t="s">
        <v>60</v>
      </c>
      <c r="BT13" s="227">
        <f>IF(COUNT(C6:AA13)=0,"",ABS(0.5*(BN13+BN14)-BN15)/(0.5*(BN13-BN14)))</f>
        <v>0.511400000000006</v>
      </c>
      <c r="BU13" s="230"/>
    </row>
    <row r="14" ht="19" customHeight="1" spans="2:73">
      <c r="B14" s="26" t="s">
        <v>61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158"/>
      <c r="AB14" s="154"/>
      <c r="AC14" s="147"/>
      <c r="AD14" s="6"/>
      <c r="AE14" s="159" t="s">
        <v>62</v>
      </c>
      <c r="AF14" s="160">
        <f>IF(COUNT(C6:AA13)=0,"",X25-2*X27)</f>
        <v>1.67071690666667</v>
      </c>
      <c r="AG14" s="160">
        <f>$AF$14</f>
        <v>1.67071690666667</v>
      </c>
      <c r="AH14" s="160">
        <f t="shared" ref="AH14:AQ14" si="11">$AF$14</f>
        <v>1.67071690666667</v>
      </c>
      <c r="AI14" s="160">
        <f t="shared" si="11"/>
        <v>1.67071690666667</v>
      </c>
      <c r="AJ14" s="160">
        <f t="shared" si="11"/>
        <v>1.67071690666667</v>
      </c>
      <c r="AK14" s="160">
        <f t="shared" si="11"/>
        <v>1.67071690666667</v>
      </c>
      <c r="AL14" s="160">
        <f t="shared" si="11"/>
        <v>1.67071690666667</v>
      </c>
      <c r="AM14" s="160">
        <f t="shared" si="11"/>
        <v>1.67071690666667</v>
      </c>
      <c r="AN14" s="155">
        <f t="shared" si="11"/>
        <v>1.67071690666667</v>
      </c>
      <c r="AO14" s="155">
        <f t="shared" si="11"/>
        <v>1.67071690666667</v>
      </c>
      <c r="AP14" s="155">
        <f t="shared" si="11"/>
        <v>1.67071690666667</v>
      </c>
      <c r="AQ14" s="155">
        <f t="shared" si="11"/>
        <v>1.67071690666667</v>
      </c>
      <c r="AR14" s="155">
        <f t="shared" ref="AR14:BD14" si="12">$AF$14</f>
        <v>1.67071690666667</v>
      </c>
      <c r="AS14" s="155">
        <f t="shared" si="12"/>
        <v>1.67071690666667</v>
      </c>
      <c r="AT14" s="155">
        <f t="shared" si="12"/>
        <v>1.67071690666667</v>
      </c>
      <c r="AU14" s="155">
        <f t="shared" si="12"/>
        <v>1.67071690666667</v>
      </c>
      <c r="AV14" s="155">
        <f t="shared" si="12"/>
        <v>1.67071690666667</v>
      </c>
      <c r="AW14" s="155">
        <f t="shared" si="12"/>
        <v>1.67071690666667</v>
      </c>
      <c r="AX14" s="155">
        <f t="shared" si="12"/>
        <v>1.67071690666667</v>
      </c>
      <c r="AY14" s="155">
        <f t="shared" si="12"/>
        <v>1.67071690666667</v>
      </c>
      <c r="AZ14" s="155">
        <f t="shared" si="12"/>
        <v>1.67071690666667</v>
      </c>
      <c r="BA14" s="155">
        <f t="shared" si="12"/>
        <v>1.67071690666667</v>
      </c>
      <c r="BB14" s="155">
        <f t="shared" si="12"/>
        <v>1.67071690666667</v>
      </c>
      <c r="BC14" s="155">
        <f t="shared" si="12"/>
        <v>1.67071690666667</v>
      </c>
      <c r="BD14" s="155">
        <f t="shared" si="12"/>
        <v>1.67071690666667</v>
      </c>
      <c r="BE14" s="6"/>
      <c r="BF14" s="6"/>
      <c r="BH14" s="220"/>
      <c r="BI14" s="225"/>
      <c r="BJ14" s="222"/>
      <c r="BK14" s="223"/>
      <c r="BL14" s="226"/>
      <c r="BM14" s="228" t="s">
        <v>63</v>
      </c>
      <c r="BN14" s="227">
        <f>IF(COUNT(C6:AA13)=0,"",N4)</f>
        <v>1.615</v>
      </c>
      <c r="BO14" s="230"/>
      <c r="BP14" s="227"/>
      <c r="BQ14" s="227"/>
      <c r="BR14" s="230"/>
      <c r="BS14" s="227" t="s">
        <v>64</v>
      </c>
      <c r="BT14" s="227">
        <f>IF(COUNT(C6:AA13)=0,"",(1-BT13)*BN16)</f>
        <v>1.22996060606059</v>
      </c>
      <c r="BU14" s="230"/>
    </row>
    <row r="15" ht="19" customHeight="1" spans="2:73">
      <c r="B15" s="28" t="s">
        <v>65</v>
      </c>
      <c r="C15" s="29">
        <f>IF(COUNT(C6:C13)=0,"",AVERAGE(C6:C13))</f>
        <v>1.673</v>
      </c>
      <c r="D15" s="29">
        <f>IF(COUNT(D6:D13)=0,"",AVERAGE(D6:D13))</f>
        <v>1.6766</v>
      </c>
      <c r="E15" s="29">
        <f t="shared" ref="D15:AA15" si="13">IF(COUNT(E6:E13)=0,"",AVERAGE(E6:E13))</f>
        <v>1.6726</v>
      </c>
      <c r="F15" s="29">
        <f t="shared" si="13"/>
        <v>1.6764</v>
      </c>
      <c r="G15" s="29">
        <f t="shared" si="13"/>
        <v>1.6754</v>
      </c>
      <c r="H15" s="29">
        <f t="shared" si="13"/>
        <v>1.6792</v>
      </c>
      <c r="I15" s="29">
        <f t="shared" si="13"/>
        <v>1.68</v>
      </c>
      <c r="J15" s="29">
        <f t="shared" si="13"/>
        <v>1.6772</v>
      </c>
      <c r="K15" s="29">
        <f t="shared" si="13"/>
        <v>1.6736</v>
      </c>
      <c r="L15" s="29">
        <f t="shared" si="13"/>
        <v>1.6754</v>
      </c>
      <c r="M15" s="29">
        <f t="shared" si="13"/>
        <v>1.6766</v>
      </c>
      <c r="N15" s="29">
        <f t="shared" si="13"/>
        <v>1.6792</v>
      </c>
      <c r="O15" s="29">
        <f t="shared" si="13"/>
        <v>1.679</v>
      </c>
      <c r="P15" s="29">
        <f t="shared" si="13"/>
        <v>1.677</v>
      </c>
      <c r="Q15" s="29">
        <f t="shared" si="13"/>
        <v>1.679</v>
      </c>
      <c r="R15" s="29">
        <f t="shared" si="13"/>
        <v>1.6726</v>
      </c>
      <c r="S15" s="29">
        <f t="shared" si="13"/>
        <v>1.676</v>
      </c>
      <c r="T15" s="29">
        <f t="shared" si="13"/>
        <v>1.6732</v>
      </c>
      <c r="U15" s="29">
        <f t="shared" si="13"/>
        <v>1.6748</v>
      </c>
      <c r="V15" s="29">
        <f t="shared" si="13"/>
        <v>1.6744</v>
      </c>
      <c r="W15" s="29">
        <f t="shared" si="13"/>
        <v>1.6734</v>
      </c>
      <c r="X15" s="29">
        <f t="shared" si="13"/>
        <v>1.6764</v>
      </c>
      <c r="Y15" s="29">
        <f t="shared" si="13"/>
        <v>1.6726</v>
      </c>
      <c r="Z15" s="29">
        <f t="shared" si="13"/>
        <v>1.6724</v>
      </c>
      <c r="AA15" s="161">
        <f t="shared" si="13"/>
        <v>1.6704</v>
      </c>
      <c r="AB15" s="156"/>
      <c r="AC15" s="162"/>
      <c r="AD15" s="6"/>
      <c r="AE15" s="23" t="s">
        <v>66</v>
      </c>
      <c r="AF15" s="155">
        <f>X26</f>
        <v>1.66834736</v>
      </c>
      <c r="AG15" s="155">
        <f>$AF$15</f>
        <v>1.66834736</v>
      </c>
      <c r="AH15" s="155">
        <f t="shared" ref="AH15:AQ15" si="14">$AF$15</f>
        <v>1.66834736</v>
      </c>
      <c r="AI15" s="155">
        <f t="shared" si="14"/>
        <v>1.66834736</v>
      </c>
      <c r="AJ15" s="155">
        <f t="shared" si="14"/>
        <v>1.66834736</v>
      </c>
      <c r="AK15" s="155">
        <f t="shared" si="14"/>
        <v>1.66834736</v>
      </c>
      <c r="AL15" s="155">
        <f t="shared" si="14"/>
        <v>1.66834736</v>
      </c>
      <c r="AM15" s="155">
        <f t="shared" si="14"/>
        <v>1.66834736</v>
      </c>
      <c r="AN15" s="206">
        <f t="shared" si="14"/>
        <v>1.66834736</v>
      </c>
      <c r="AO15" s="155">
        <f t="shared" si="14"/>
        <v>1.66834736</v>
      </c>
      <c r="AP15" s="155">
        <f t="shared" si="14"/>
        <v>1.66834736</v>
      </c>
      <c r="AQ15" s="155">
        <f t="shared" si="14"/>
        <v>1.66834736</v>
      </c>
      <c r="AR15" s="155">
        <f t="shared" ref="AR15:BD15" si="15">$AF$15</f>
        <v>1.66834736</v>
      </c>
      <c r="AS15" s="155">
        <f t="shared" si="15"/>
        <v>1.66834736</v>
      </c>
      <c r="AT15" s="155">
        <f t="shared" si="15"/>
        <v>1.66834736</v>
      </c>
      <c r="AU15" s="155">
        <f t="shared" si="15"/>
        <v>1.66834736</v>
      </c>
      <c r="AV15" s="155">
        <f t="shared" si="15"/>
        <v>1.66834736</v>
      </c>
      <c r="AW15" s="155">
        <f t="shared" si="15"/>
        <v>1.66834736</v>
      </c>
      <c r="AX15" s="155">
        <f t="shared" si="15"/>
        <v>1.66834736</v>
      </c>
      <c r="AY15" s="155">
        <f t="shared" si="15"/>
        <v>1.66834736</v>
      </c>
      <c r="AZ15" s="155">
        <f t="shared" si="15"/>
        <v>1.66834736</v>
      </c>
      <c r="BA15" s="155">
        <f t="shared" si="15"/>
        <v>1.66834736</v>
      </c>
      <c r="BB15" s="155">
        <f t="shared" si="15"/>
        <v>1.66834736</v>
      </c>
      <c r="BC15" s="155">
        <f t="shared" si="15"/>
        <v>1.66834736</v>
      </c>
      <c r="BD15" s="155">
        <f t="shared" si="15"/>
        <v>1.66834736</v>
      </c>
      <c r="BE15" s="6"/>
      <c r="BF15" s="6"/>
      <c r="BH15" s="220"/>
      <c r="BI15" s="225"/>
      <c r="BJ15" s="222"/>
      <c r="BK15" s="223"/>
      <c r="BL15" s="226"/>
      <c r="BM15" s="228" t="s">
        <v>67</v>
      </c>
      <c r="BN15" s="227">
        <f>IF(COUNT(C6:AA13)=0,"",AVERAGE(C6:AA13))</f>
        <v>1.675456</v>
      </c>
      <c r="BO15" s="230"/>
      <c r="BP15" s="227"/>
      <c r="BQ15" s="227"/>
      <c r="BR15" s="230"/>
      <c r="BS15" s="227" t="s">
        <v>68</v>
      </c>
      <c r="BT15" s="227">
        <f>IF(COUNT(C6:AA13)=0,"",MAX(C6:AA13))</f>
        <v>1.685</v>
      </c>
      <c r="BU15" s="230"/>
    </row>
    <row r="16" ht="19" customHeight="1" spans="2:73">
      <c r="B16" s="30" t="s">
        <v>69</v>
      </c>
      <c r="C16" s="31">
        <f>IF(COUNT(C6:C13)=0,"",MAX(C6:C13)-MIN(C6:C13))</f>
        <v>0.00499999999999989</v>
      </c>
      <c r="D16" s="31">
        <f t="shared" ref="D16:AA16" si="16">IF(COUNT(D6:D13)=0,"",MAX(D6:D13)-MIN(D6:D13))</f>
        <v>0.014</v>
      </c>
      <c r="E16" s="31">
        <f t="shared" si="16"/>
        <v>0.0109999999999999</v>
      </c>
      <c r="F16" s="31">
        <f t="shared" si="16"/>
        <v>0.014</v>
      </c>
      <c r="G16" s="31">
        <f t="shared" si="16"/>
        <v>0.0170000000000001</v>
      </c>
      <c r="H16" s="31">
        <f t="shared" si="16"/>
        <v>0.00800000000000001</v>
      </c>
      <c r="I16" s="31">
        <f t="shared" si="16"/>
        <v>0.012</v>
      </c>
      <c r="J16" s="31">
        <f t="shared" si="16"/>
        <v>0.016</v>
      </c>
      <c r="K16" s="31">
        <f t="shared" si="16"/>
        <v>0.0130000000000001</v>
      </c>
      <c r="L16" s="31">
        <f t="shared" si="16"/>
        <v>0.0110000000000001</v>
      </c>
      <c r="M16" s="31">
        <f t="shared" si="16"/>
        <v>0.018</v>
      </c>
      <c r="N16" s="31">
        <f t="shared" si="16"/>
        <v>0.0130000000000001</v>
      </c>
      <c r="O16" s="31">
        <f t="shared" si="16"/>
        <v>0.014</v>
      </c>
      <c r="P16" s="31">
        <f t="shared" si="16"/>
        <v>0.014</v>
      </c>
      <c r="Q16" s="31">
        <f t="shared" si="16"/>
        <v>0.0109999999999999</v>
      </c>
      <c r="R16" s="31">
        <f t="shared" si="16"/>
        <v>0.00800000000000001</v>
      </c>
      <c r="S16" s="31">
        <f t="shared" si="16"/>
        <v>0.0110000000000001</v>
      </c>
      <c r="T16" s="31">
        <f t="shared" si="16"/>
        <v>0.0089999999999999</v>
      </c>
      <c r="U16" s="31">
        <f t="shared" si="16"/>
        <v>0.01</v>
      </c>
      <c r="V16" s="31">
        <f t="shared" si="16"/>
        <v>0.0150000000000001</v>
      </c>
      <c r="W16" s="31">
        <f t="shared" si="16"/>
        <v>0.014</v>
      </c>
      <c r="X16" s="31">
        <f t="shared" si="16"/>
        <v>0.014</v>
      </c>
      <c r="Y16" s="31">
        <f t="shared" si="16"/>
        <v>0.016</v>
      </c>
      <c r="Z16" s="31">
        <f t="shared" si="16"/>
        <v>0.012</v>
      </c>
      <c r="AA16" s="163">
        <f t="shared" si="16"/>
        <v>0.00800000000000001</v>
      </c>
      <c r="AB16" s="157"/>
      <c r="AC16" s="67"/>
      <c r="AD16" s="6"/>
      <c r="AE16" s="57"/>
      <c r="AF16" s="57"/>
      <c r="AG16" s="57"/>
      <c r="AH16" s="57"/>
      <c r="AI16" s="57"/>
      <c r="AJ16" s="57"/>
      <c r="AK16" s="57"/>
      <c r="AL16" s="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6"/>
      <c r="BF16" s="6"/>
      <c r="BH16" s="220"/>
      <c r="BI16" s="225"/>
      <c r="BJ16" s="222"/>
      <c r="BK16" s="223"/>
      <c r="BL16" s="226"/>
      <c r="BM16" s="228" t="s">
        <v>70</v>
      </c>
      <c r="BN16" s="227">
        <f>IF(COUNT(C6:AA13)=0,"",W43)</f>
        <v>2.51731601731602</v>
      </c>
      <c r="BO16" s="230"/>
      <c r="BP16" s="227"/>
      <c r="BQ16" s="227"/>
      <c r="BR16" s="230"/>
      <c r="BS16" s="227" t="s">
        <v>71</v>
      </c>
      <c r="BT16" s="227">
        <f>IF(COUNT(C6:AA13)=0,"",MIN(C6:AA13))</f>
        <v>1.665</v>
      </c>
      <c r="BU16" s="230"/>
    </row>
    <row r="17" ht="14" customHeight="1" spans="2:73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145"/>
      <c r="AC17" s="67"/>
      <c r="AD17" s="6"/>
      <c r="AE17" s="164"/>
      <c r="AF17" s="164"/>
      <c r="AG17" s="207"/>
      <c r="AH17" s="164"/>
      <c r="AI17" s="164"/>
      <c r="AJ17" s="164"/>
      <c r="AK17" s="164"/>
      <c r="AL17" s="164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H17" s="220"/>
      <c r="BI17" s="225"/>
      <c r="BJ17" s="222"/>
      <c r="BK17" s="223"/>
      <c r="BL17" s="226"/>
      <c r="BM17" s="226"/>
      <c r="BN17" s="230"/>
      <c r="BO17" s="230"/>
      <c r="BP17" s="230"/>
      <c r="BQ17" s="230"/>
      <c r="BR17" s="230"/>
      <c r="BS17" s="227" t="s">
        <v>64</v>
      </c>
      <c r="BT17" s="227">
        <f>IF(COUNT(C6:AA13)=0,"",(BT15-BT16)/8)</f>
        <v>0.0025</v>
      </c>
      <c r="BU17" s="230"/>
    </row>
    <row r="18" ht="20" customHeight="1" spans="2:73"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96" t="s">
        <v>72</v>
      </c>
      <c r="W18" s="97"/>
      <c r="X18" s="97"/>
      <c r="Y18" s="97"/>
      <c r="Z18" s="97"/>
      <c r="AA18" s="165"/>
      <c r="AB18" s="145"/>
      <c r="AC18" s="166"/>
      <c r="AD18" s="6"/>
      <c r="AE18" s="32" t="s">
        <v>73</v>
      </c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6"/>
      <c r="BF18" s="6"/>
      <c r="BH18" s="220"/>
      <c r="BI18" s="225"/>
      <c r="BJ18" s="222"/>
      <c r="BK18" s="223"/>
      <c r="BL18" s="226"/>
      <c r="BM18" s="226"/>
      <c r="BN18" s="226"/>
      <c r="BO18" s="226"/>
      <c r="BP18" s="226"/>
      <c r="BQ18" s="226"/>
      <c r="BR18" s="226"/>
      <c r="BS18" s="226"/>
      <c r="BT18" s="226"/>
      <c r="BU18" s="226"/>
    </row>
    <row r="19" ht="20" customHeight="1" spans="2:73"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98" t="s">
        <v>74</v>
      </c>
      <c r="W19" s="99"/>
      <c r="X19" s="99" t="s">
        <v>75</v>
      </c>
      <c r="Y19" s="99" t="s">
        <v>76</v>
      </c>
      <c r="Z19" s="99" t="s">
        <v>77</v>
      </c>
      <c r="AA19" s="167" t="s">
        <v>78</v>
      </c>
      <c r="AB19" s="145"/>
      <c r="AC19" s="166"/>
      <c r="AD19" s="6"/>
      <c r="AE19" s="23" t="s">
        <v>47</v>
      </c>
      <c r="AF19" s="23" t="s">
        <v>21</v>
      </c>
      <c r="AG19" s="23" t="s">
        <v>22</v>
      </c>
      <c r="AH19" s="23" t="s">
        <v>23</v>
      </c>
      <c r="AI19" s="23" t="s">
        <v>24</v>
      </c>
      <c r="AJ19" s="23" t="s">
        <v>25</v>
      </c>
      <c r="AK19" s="23" t="s">
        <v>26</v>
      </c>
      <c r="AL19" s="23" t="s">
        <v>27</v>
      </c>
      <c r="AM19" s="23" t="s">
        <v>28</v>
      </c>
      <c r="AN19" s="23" t="s">
        <v>29</v>
      </c>
      <c r="AO19" s="23" t="s">
        <v>30</v>
      </c>
      <c r="AP19" s="23" t="s">
        <v>31</v>
      </c>
      <c r="AQ19" s="23" t="s">
        <v>32</v>
      </c>
      <c r="AR19" s="23" t="s">
        <v>33</v>
      </c>
      <c r="AS19" s="23" t="s">
        <v>34</v>
      </c>
      <c r="AT19" s="23" t="s">
        <v>35</v>
      </c>
      <c r="AU19" s="23" t="s">
        <v>36</v>
      </c>
      <c r="AV19" s="23" t="s">
        <v>37</v>
      </c>
      <c r="AW19" s="23" t="s">
        <v>38</v>
      </c>
      <c r="AX19" s="23" t="s">
        <v>39</v>
      </c>
      <c r="AY19" s="23" t="s">
        <v>40</v>
      </c>
      <c r="AZ19" s="23" t="s">
        <v>41</v>
      </c>
      <c r="BA19" s="23" t="s">
        <v>42</v>
      </c>
      <c r="BB19" s="23" t="s">
        <v>43</v>
      </c>
      <c r="BC19" s="23" t="s">
        <v>44</v>
      </c>
      <c r="BD19" s="23" t="s">
        <v>45</v>
      </c>
      <c r="BE19" s="6"/>
      <c r="BF19" s="6"/>
      <c r="BH19" s="227" t="s">
        <v>79</v>
      </c>
      <c r="BI19" s="227" t="s">
        <v>80</v>
      </c>
      <c r="BJ19" s="227" t="s">
        <v>81</v>
      </c>
      <c r="BK19" s="223"/>
      <c r="BL19" s="228" t="s">
        <v>82</v>
      </c>
      <c r="BM19" s="228" t="s">
        <v>79</v>
      </c>
      <c r="BN19" s="228" t="s">
        <v>53</v>
      </c>
      <c r="BO19" s="228"/>
      <c r="BP19" s="224"/>
      <c r="BQ19" s="226"/>
      <c r="BR19" s="226"/>
      <c r="BS19" s="226"/>
      <c r="BT19" s="226"/>
      <c r="BU19" s="226"/>
    </row>
    <row r="20" ht="20" customHeight="1" spans="2:73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100" t="s">
        <v>83</v>
      </c>
      <c r="W20" s="101"/>
      <c r="X20" s="102">
        <f>IF(COUNT(C6:AA13)=0,"",COUNTA($C$6:$C$13))</f>
        <v>5</v>
      </c>
      <c r="Y20" s="102" t="s">
        <v>84</v>
      </c>
      <c r="Z20" s="103"/>
      <c r="AA20" s="168">
        <f t="array" ref="AA20:AA27">IF(COUNT(C6:AA13)=0,"",FREQUENCY(C15:AA15,Z20:Z27))</f>
        <v>0</v>
      </c>
      <c r="AB20" s="145"/>
      <c r="AC20" s="147"/>
      <c r="AD20" s="6"/>
      <c r="AE20" s="23" t="s">
        <v>48</v>
      </c>
      <c r="AF20" s="155">
        <f>X35</f>
        <v>0.02604448</v>
      </c>
      <c r="AG20" s="155">
        <f>$AF$20</f>
        <v>0.02604448</v>
      </c>
      <c r="AH20" s="155">
        <f t="shared" ref="AH20:AQ20" si="17">$AF$20</f>
        <v>0.02604448</v>
      </c>
      <c r="AI20" s="155">
        <f t="shared" si="17"/>
        <v>0.02604448</v>
      </c>
      <c r="AJ20" s="155">
        <f t="shared" si="17"/>
        <v>0.02604448</v>
      </c>
      <c r="AK20" s="155">
        <f t="shared" si="17"/>
        <v>0.02604448</v>
      </c>
      <c r="AL20" s="155">
        <f t="shared" si="17"/>
        <v>0.02604448</v>
      </c>
      <c r="AM20" s="155">
        <f t="shared" si="17"/>
        <v>0.02604448</v>
      </c>
      <c r="AN20" s="155">
        <f t="shared" si="17"/>
        <v>0.02604448</v>
      </c>
      <c r="AO20" s="155">
        <f t="shared" si="17"/>
        <v>0.02604448</v>
      </c>
      <c r="AP20" s="155">
        <f t="shared" si="17"/>
        <v>0.02604448</v>
      </c>
      <c r="AQ20" s="155">
        <f t="shared" si="17"/>
        <v>0.02604448</v>
      </c>
      <c r="AR20" s="155">
        <f t="shared" ref="AR20:BD20" si="18">$AF$20</f>
        <v>0.02604448</v>
      </c>
      <c r="AS20" s="155">
        <f t="shared" si="18"/>
        <v>0.02604448</v>
      </c>
      <c r="AT20" s="155">
        <f t="shared" si="18"/>
        <v>0.02604448</v>
      </c>
      <c r="AU20" s="155">
        <f t="shared" si="18"/>
        <v>0.02604448</v>
      </c>
      <c r="AV20" s="155">
        <f t="shared" si="18"/>
        <v>0.02604448</v>
      </c>
      <c r="AW20" s="155">
        <f t="shared" si="18"/>
        <v>0.02604448</v>
      </c>
      <c r="AX20" s="155">
        <f t="shared" si="18"/>
        <v>0.02604448</v>
      </c>
      <c r="AY20" s="155">
        <f t="shared" si="18"/>
        <v>0.02604448</v>
      </c>
      <c r="AZ20" s="155">
        <f t="shared" si="18"/>
        <v>0.02604448</v>
      </c>
      <c r="BA20" s="155">
        <f t="shared" si="18"/>
        <v>0.02604448</v>
      </c>
      <c r="BB20" s="155">
        <f t="shared" si="18"/>
        <v>0.02604448</v>
      </c>
      <c r="BC20" s="155">
        <f t="shared" si="18"/>
        <v>0.02604448</v>
      </c>
      <c r="BD20" s="155">
        <f t="shared" si="18"/>
        <v>0.02604448</v>
      </c>
      <c r="BE20" s="6"/>
      <c r="BF20" s="6"/>
      <c r="BH20" s="229">
        <f>BH21-$BQ$12</f>
        <v>1.60284</v>
      </c>
      <c r="BI20" s="227">
        <f>NORMDIST(BH20,AVERAGE($C$6:$AA$13),STDEV($C$6:$AA$13),0)/3</f>
        <v>2.95249584570874e-36</v>
      </c>
      <c r="BJ20" s="227"/>
      <c r="BK20" s="223"/>
      <c r="BL20" s="227">
        <f>BL21-X38</f>
        <v>1.64897276698194</v>
      </c>
      <c r="BM20" s="227">
        <f>BT16-(BT17*0.5)</f>
        <v>1.66375</v>
      </c>
      <c r="BN20" s="227">
        <f t="array" ref="BN20:BN52">FREQUENCY(C6:AA13,BM20:BM52)</f>
        <v>0</v>
      </c>
      <c r="BO20" s="234">
        <f t="shared" ref="BO20:BO30" si="19">BN20</f>
        <v>0</v>
      </c>
      <c r="BP20" s="226"/>
      <c r="BQ20" s="226"/>
      <c r="BR20" s="226"/>
      <c r="BS20" s="235"/>
      <c r="BT20" s="235"/>
      <c r="BU20" s="235"/>
    </row>
    <row r="21" ht="20" customHeight="1" spans="2:73"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100" t="s">
        <v>85</v>
      </c>
      <c r="W21" s="101"/>
      <c r="X21" s="102">
        <f>IF(COUNT(C6:AA13)=0,"",COUNTA($C$6:$AA$6))</f>
        <v>25</v>
      </c>
      <c r="Y21" s="102" t="s">
        <v>86</v>
      </c>
      <c r="Z21" s="103">
        <f>IF(COUNT(C6:AA13)=0,"",X26)</f>
        <v>1.66834736</v>
      </c>
      <c r="AA21" s="168">
        <v>1</v>
      </c>
      <c r="AB21" s="145"/>
      <c r="AC21" s="169"/>
      <c r="AD21" s="6"/>
      <c r="AE21" s="23" t="s">
        <v>50</v>
      </c>
      <c r="AF21" s="155">
        <f>IF(COUNT(C6:AA13)=0,"",X36+2*X38)</f>
        <v>0.0229132932072227</v>
      </c>
      <c r="AG21" s="155">
        <f>$AF$21</f>
        <v>0.0229132932072227</v>
      </c>
      <c r="AH21" s="155">
        <f t="shared" ref="AH21:AQ21" si="20">$AF$21</f>
        <v>0.0229132932072227</v>
      </c>
      <c r="AI21" s="155">
        <f t="shared" si="20"/>
        <v>0.0229132932072227</v>
      </c>
      <c r="AJ21" s="155">
        <f t="shared" si="20"/>
        <v>0.0229132932072227</v>
      </c>
      <c r="AK21" s="155">
        <f t="shared" si="20"/>
        <v>0.0229132932072227</v>
      </c>
      <c r="AL21" s="155">
        <f t="shared" si="20"/>
        <v>0.0229132932072227</v>
      </c>
      <c r="AM21" s="155">
        <f t="shared" si="20"/>
        <v>0.0229132932072227</v>
      </c>
      <c r="AN21" s="155">
        <f t="shared" si="20"/>
        <v>0.0229132932072227</v>
      </c>
      <c r="AO21" s="155">
        <f t="shared" si="20"/>
        <v>0.0229132932072227</v>
      </c>
      <c r="AP21" s="155">
        <f t="shared" si="20"/>
        <v>0.0229132932072227</v>
      </c>
      <c r="AQ21" s="155">
        <f t="shared" si="20"/>
        <v>0.0229132932072227</v>
      </c>
      <c r="AR21" s="155">
        <f t="shared" ref="AR21:BD21" si="21">$AF$21</f>
        <v>0.0229132932072227</v>
      </c>
      <c r="AS21" s="155">
        <f t="shared" si="21"/>
        <v>0.0229132932072227</v>
      </c>
      <c r="AT21" s="155">
        <f t="shared" si="21"/>
        <v>0.0229132932072227</v>
      </c>
      <c r="AU21" s="155">
        <f t="shared" si="21"/>
        <v>0.0229132932072227</v>
      </c>
      <c r="AV21" s="155">
        <f t="shared" si="21"/>
        <v>0.0229132932072227</v>
      </c>
      <c r="AW21" s="155">
        <f t="shared" si="21"/>
        <v>0.0229132932072227</v>
      </c>
      <c r="AX21" s="155">
        <f t="shared" si="21"/>
        <v>0.0229132932072227</v>
      </c>
      <c r="AY21" s="155">
        <f t="shared" si="21"/>
        <v>0.0229132932072227</v>
      </c>
      <c r="AZ21" s="155">
        <f t="shared" si="21"/>
        <v>0.0229132932072227</v>
      </c>
      <c r="BA21" s="155">
        <f t="shared" si="21"/>
        <v>0.0229132932072227</v>
      </c>
      <c r="BB21" s="155">
        <f t="shared" si="21"/>
        <v>0.0229132932072227</v>
      </c>
      <c r="BC21" s="155">
        <f t="shared" si="21"/>
        <v>0.0229132932072227</v>
      </c>
      <c r="BD21" s="155">
        <f t="shared" si="21"/>
        <v>0.0229132932072227</v>
      </c>
      <c r="BE21" s="6"/>
      <c r="BF21" s="6"/>
      <c r="BH21" s="229">
        <f t="shared" ref="BH21:BH38" si="22">BH22-$BQ$12</f>
        <v>1.60348</v>
      </c>
      <c r="BI21" s="227">
        <f t="shared" ref="BI21:BI52" si="23">NORMDIST(BH21,AVERAGE($C$6:$AA$10),STDEV($C$6:$AA$10),0)/3</f>
        <v>1.31188010837097e-35</v>
      </c>
      <c r="BJ21" s="227"/>
      <c r="BK21" s="223"/>
      <c r="BL21" s="227">
        <f>BL22-X38</f>
        <v>1.65426941358556</v>
      </c>
      <c r="BM21" s="227">
        <f>BM20+$BT$17</f>
        <v>1.66625</v>
      </c>
      <c r="BN21" s="227">
        <v>7</v>
      </c>
      <c r="BO21" s="234">
        <f t="shared" si="19"/>
        <v>7</v>
      </c>
      <c r="BP21" s="226"/>
      <c r="BQ21" s="226"/>
      <c r="BR21" s="226"/>
      <c r="BS21" s="235"/>
      <c r="BT21" s="235"/>
      <c r="BU21" s="235"/>
    </row>
    <row r="22" ht="20" customHeight="1" spans="2:73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100" t="s">
        <v>87</v>
      </c>
      <c r="W22" s="101"/>
      <c r="X22" s="102">
        <f>IF(COUNT(C6:AA13)=0,"",COUNTA($C$6:$AA$13))</f>
        <v>125</v>
      </c>
      <c r="Y22" s="102" t="s">
        <v>88</v>
      </c>
      <c r="Z22" s="103">
        <f>IF(COUNT(C6:AA13)=0,"",Z23-X27)</f>
        <v>1.67071690666667</v>
      </c>
      <c r="AA22" s="168">
        <v>5</v>
      </c>
      <c r="AB22" s="145"/>
      <c r="AC22" s="67"/>
      <c r="AD22" s="6"/>
      <c r="AE22" s="23" t="s">
        <v>51</v>
      </c>
      <c r="AF22" s="155">
        <f>IF(COUNT(C6:AA13)=0,"",X36+X38)</f>
        <v>0.0176166466036114</v>
      </c>
      <c r="AG22" s="155">
        <f>$AF$22</f>
        <v>0.0176166466036114</v>
      </c>
      <c r="AH22" s="155">
        <f t="shared" ref="AH22:AQ22" si="24">$AF$22</f>
        <v>0.0176166466036114</v>
      </c>
      <c r="AI22" s="155">
        <f t="shared" si="24"/>
        <v>0.0176166466036114</v>
      </c>
      <c r="AJ22" s="155">
        <f t="shared" si="24"/>
        <v>0.0176166466036114</v>
      </c>
      <c r="AK22" s="155">
        <f t="shared" si="24"/>
        <v>0.0176166466036114</v>
      </c>
      <c r="AL22" s="155">
        <f t="shared" si="24"/>
        <v>0.0176166466036114</v>
      </c>
      <c r="AM22" s="155">
        <f t="shared" si="24"/>
        <v>0.0176166466036114</v>
      </c>
      <c r="AN22" s="155">
        <f t="shared" si="24"/>
        <v>0.0176166466036114</v>
      </c>
      <c r="AO22" s="155">
        <f t="shared" si="24"/>
        <v>0.0176166466036114</v>
      </c>
      <c r="AP22" s="155">
        <f t="shared" si="24"/>
        <v>0.0176166466036114</v>
      </c>
      <c r="AQ22" s="155">
        <f t="shared" si="24"/>
        <v>0.0176166466036114</v>
      </c>
      <c r="AR22" s="155">
        <f t="shared" ref="AR22:BD22" si="25">$AF$22</f>
        <v>0.0176166466036114</v>
      </c>
      <c r="AS22" s="155">
        <f t="shared" si="25"/>
        <v>0.0176166466036114</v>
      </c>
      <c r="AT22" s="155">
        <f t="shared" si="25"/>
        <v>0.0176166466036114</v>
      </c>
      <c r="AU22" s="155">
        <f t="shared" si="25"/>
        <v>0.0176166466036114</v>
      </c>
      <c r="AV22" s="155">
        <f t="shared" si="25"/>
        <v>0.0176166466036114</v>
      </c>
      <c r="AW22" s="155">
        <f t="shared" si="25"/>
        <v>0.0176166466036114</v>
      </c>
      <c r="AX22" s="155">
        <f t="shared" si="25"/>
        <v>0.0176166466036114</v>
      </c>
      <c r="AY22" s="155">
        <f t="shared" si="25"/>
        <v>0.0176166466036114</v>
      </c>
      <c r="AZ22" s="155">
        <f t="shared" si="25"/>
        <v>0.0176166466036114</v>
      </c>
      <c r="BA22" s="155">
        <f t="shared" si="25"/>
        <v>0.0176166466036114</v>
      </c>
      <c r="BB22" s="155">
        <f t="shared" si="25"/>
        <v>0.0176166466036114</v>
      </c>
      <c r="BC22" s="155">
        <f t="shared" si="25"/>
        <v>0.0176166466036114</v>
      </c>
      <c r="BD22" s="155">
        <f t="shared" si="25"/>
        <v>0.0176166466036114</v>
      </c>
      <c r="BE22" s="6"/>
      <c r="BF22" s="6"/>
      <c r="BH22" s="229">
        <f t="shared" si="22"/>
        <v>1.60412</v>
      </c>
      <c r="BI22" s="227">
        <f t="shared" si="23"/>
        <v>5.75261348132303e-35</v>
      </c>
      <c r="BJ22" s="227"/>
      <c r="BK22" s="223"/>
      <c r="BL22" s="227">
        <f>BL23-X38</f>
        <v>1.65956606018917</v>
      </c>
      <c r="BM22" s="227">
        <f>BM21+$BT$17</f>
        <v>1.66875</v>
      </c>
      <c r="BN22" s="227">
        <v>14</v>
      </c>
      <c r="BO22" s="234">
        <f t="shared" si="19"/>
        <v>14</v>
      </c>
      <c r="BP22" s="226"/>
      <c r="BQ22" s="226"/>
      <c r="BR22" s="224"/>
      <c r="BS22" s="235"/>
      <c r="BT22" s="235"/>
      <c r="BU22" s="235"/>
    </row>
    <row r="23" ht="20" customHeight="1" spans="2:73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100" t="s">
        <v>72</v>
      </c>
      <c r="W23" s="101"/>
      <c r="X23" s="103">
        <f>IF(COUNT(C6:AA13)=0,"",AVERAGE($C$15:$AA$15))</f>
        <v>1.675456</v>
      </c>
      <c r="Y23" s="103" t="s">
        <v>89</v>
      </c>
      <c r="Z23" s="103">
        <f>IF(COUNT(C6:AA13)=0,"",Z24-X27)</f>
        <v>1.67308645333333</v>
      </c>
      <c r="AA23" s="168">
        <v>7</v>
      </c>
      <c r="AB23" s="145"/>
      <c r="AC23" s="166"/>
      <c r="AD23" s="6"/>
      <c r="AE23" s="23" t="s">
        <v>54</v>
      </c>
      <c r="AF23" s="155">
        <f>X36</f>
        <v>0.01232</v>
      </c>
      <c r="AG23" s="155">
        <f>$AF$23</f>
        <v>0.01232</v>
      </c>
      <c r="AH23" s="155">
        <f t="shared" ref="AH23:AQ23" si="26">$AF$23</f>
        <v>0.01232</v>
      </c>
      <c r="AI23" s="155">
        <f t="shared" si="26"/>
        <v>0.01232</v>
      </c>
      <c r="AJ23" s="155">
        <f t="shared" si="26"/>
        <v>0.01232</v>
      </c>
      <c r="AK23" s="155">
        <f t="shared" si="26"/>
        <v>0.01232</v>
      </c>
      <c r="AL23" s="155">
        <f t="shared" si="26"/>
        <v>0.01232</v>
      </c>
      <c r="AM23" s="155">
        <f t="shared" si="26"/>
        <v>0.01232</v>
      </c>
      <c r="AN23" s="155">
        <f t="shared" si="26"/>
        <v>0.01232</v>
      </c>
      <c r="AO23" s="155">
        <f t="shared" si="26"/>
        <v>0.01232</v>
      </c>
      <c r="AP23" s="155">
        <f t="shared" si="26"/>
        <v>0.01232</v>
      </c>
      <c r="AQ23" s="155">
        <f t="shared" si="26"/>
        <v>0.01232</v>
      </c>
      <c r="AR23" s="155">
        <f t="shared" ref="AR23:BD23" si="27">$AF$23</f>
        <v>0.01232</v>
      </c>
      <c r="AS23" s="155">
        <f t="shared" si="27"/>
        <v>0.01232</v>
      </c>
      <c r="AT23" s="155">
        <f t="shared" si="27"/>
        <v>0.01232</v>
      </c>
      <c r="AU23" s="155">
        <f t="shared" si="27"/>
        <v>0.01232</v>
      </c>
      <c r="AV23" s="155">
        <f t="shared" si="27"/>
        <v>0.01232</v>
      </c>
      <c r="AW23" s="155">
        <f t="shared" si="27"/>
        <v>0.01232</v>
      </c>
      <c r="AX23" s="155">
        <f t="shared" si="27"/>
        <v>0.01232</v>
      </c>
      <c r="AY23" s="155">
        <f t="shared" si="27"/>
        <v>0.01232</v>
      </c>
      <c r="AZ23" s="155">
        <f t="shared" si="27"/>
        <v>0.01232</v>
      </c>
      <c r="BA23" s="155">
        <f t="shared" si="27"/>
        <v>0.01232</v>
      </c>
      <c r="BB23" s="155">
        <f t="shared" si="27"/>
        <v>0.01232</v>
      </c>
      <c r="BC23" s="155">
        <f t="shared" si="27"/>
        <v>0.01232</v>
      </c>
      <c r="BD23" s="155">
        <f t="shared" si="27"/>
        <v>0.01232</v>
      </c>
      <c r="BE23" s="6"/>
      <c r="BF23" s="6"/>
      <c r="BH23" s="229">
        <f t="shared" si="22"/>
        <v>1.60476</v>
      </c>
      <c r="BI23" s="227">
        <f t="shared" si="23"/>
        <v>2.48944444114746e-34</v>
      </c>
      <c r="BJ23" s="227"/>
      <c r="BK23" s="223"/>
      <c r="BL23" s="227">
        <f>BL24-X38</f>
        <v>1.66486270679278</v>
      </c>
      <c r="BM23" s="227">
        <f>BM22+$BT$17</f>
        <v>1.67125</v>
      </c>
      <c r="BN23" s="227">
        <v>13</v>
      </c>
      <c r="BO23" s="234">
        <f t="shared" si="19"/>
        <v>13</v>
      </c>
      <c r="BP23" s="226"/>
      <c r="BQ23" s="226"/>
      <c r="BR23" s="224"/>
      <c r="BS23" s="235"/>
      <c r="BT23" s="235"/>
      <c r="BU23" s="235"/>
    </row>
    <row r="24" ht="20" customHeight="1" spans="2:73"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100" t="s">
        <v>90</v>
      </c>
      <c r="W24" s="101"/>
      <c r="X24" s="103">
        <f>IF(COUNT(C6:AA13)=0,"",X25+(X34*LOOKUP(X20,AE31:AE38,AF31:AF38)))</f>
        <v>1.68256464</v>
      </c>
      <c r="Y24" s="103" t="s">
        <v>91</v>
      </c>
      <c r="Z24" s="103">
        <f>IF(COUNT(C6:AA13)=0,"",X25)</f>
        <v>1.675456</v>
      </c>
      <c r="AA24" s="168">
        <v>7</v>
      </c>
      <c r="AB24" s="147"/>
      <c r="AC24" s="166"/>
      <c r="AD24" s="6"/>
      <c r="AE24" s="23" t="s">
        <v>58</v>
      </c>
      <c r="AF24" s="155">
        <f>IF(COUNT(C6:AA13)=0,"",X36-X38)</f>
        <v>0.00702335339638866</v>
      </c>
      <c r="AG24" s="155">
        <f>$AF$24</f>
        <v>0.00702335339638866</v>
      </c>
      <c r="AH24" s="155">
        <f t="shared" ref="AH24:AQ24" si="28">$AF$24</f>
        <v>0.00702335339638866</v>
      </c>
      <c r="AI24" s="155">
        <f t="shared" si="28"/>
        <v>0.00702335339638866</v>
      </c>
      <c r="AJ24" s="155">
        <f t="shared" si="28"/>
        <v>0.00702335339638866</v>
      </c>
      <c r="AK24" s="155">
        <f t="shared" si="28"/>
        <v>0.00702335339638866</v>
      </c>
      <c r="AL24" s="155">
        <f t="shared" si="28"/>
        <v>0.00702335339638866</v>
      </c>
      <c r="AM24" s="155">
        <f t="shared" si="28"/>
        <v>0.00702335339638866</v>
      </c>
      <c r="AN24" s="155">
        <f t="shared" si="28"/>
        <v>0.00702335339638866</v>
      </c>
      <c r="AO24" s="155">
        <f t="shared" si="28"/>
        <v>0.00702335339638866</v>
      </c>
      <c r="AP24" s="155">
        <f t="shared" si="28"/>
        <v>0.00702335339638866</v>
      </c>
      <c r="AQ24" s="155">
        <f t="shared" si="28"/>
        <v>0.00702335339638866</v>
      </c>
      <c r="AR24" s="155">
        <f t="shared" ref="AR24:BD24" si="29">$AF$24</f>
        <v>0.00702335339638866</v>
      </c>
      <c r="AS24" s="155">
        <f t="shared" si="29"/>
        <v>0.00702335339638866</v>
      </c>
      <c r="AT24" s="155">
        <f t="shared" si="29"/>
        <v>0.00702335339638866</v>
      </c>
      <c r="AU24" s="155">
        <f t="shared" si="29"/>
        <v>0.00702335339638866</v>
      </c>
      <c r="AV24" s="155">
        <f t="shared" si="29"/>
        <v>0.00702335339638866</v>
      </c>
      <c r="AW24" s="155">
        <f t="shared" si="29"/>
        <v>0.00702335339638866</v>
      </c>
      <c r="AX24" s="155">
        <f t="shared" si="29"/>
        <v>0.00702335339638866</v>
      </c>
      <c r="AY24" s="155">
        <f t="shared" si="29"/>
        <v>0.00702335339638866</v>
      </c>
      <c r="AZ24" s="155">
        <f t="shared" si="29"/>
        <v>0.00702335339638866</v>
      </c>
      <c r="BA24" s="155">
        <f t="shared" si="29"/>
        <v>0.00702335339638866</v>
      </c>
      <c r="BB24" s="155">
        <f t="shared" si="29"/>
        <v>0.00702335339638866</v>
      </c>
      <c r="BC24" s="155">
        <f t="shared" si="29"/>
        <v>0.00702335339638866</v>
      </c>
      <c r="BD24" s="155">
        <f t="shared" si="29"/>
        <v>0.00702335339638866</v>
      </c>
      <c r="BE24" s="6"/>
      <c r="BF24" s="6"/>
      <c r="BH24" s="229">
        <f t="shared" si="22"/>
        <v>1.6054</v>
      </c>
      <c r="BI24" s="227">
        <f t="shared" si="23"/>
        <v>1.06317774610376e-33</v>
      </c>
      <c r="BJ24" s="227"/>
      <c r="BK24" s="223"/>
      <c r="BL24" s="227">
        <f>BL25-X38</f>
        <v>1.67015935339639</v>
      </c>
      <c r="BM24" s="227">
        <f>BM23+$BT$17</f>
        <v>1.67375</v>
      </c>
      <c r="BN24" s="227">
        <v>12</v>
      </c>
      <c r="BO24" s="234">
        <f t="shared" si="19"/>
        <v>12</v>
      </c>
      <c r="BP24" s="226"/>
      <c r="BQ24" s="226"/>
      <c r="BR24" s="224"/>
      <c r="BS24" s="235"/>
      <c r="BT24" s="235"/>
      <c r="BU24" s="235"/>
    </row>
    <row r="25" ht="20" customHeight="1" spans="2:73"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100" t="s">
        <v>92</v>
      </c>
      <c r="W25" s="101"/>
      <c r="X25" s="103">
        <f>IF(COUNT(C6:AA13)=0,"",X23)</f>
        <v>1.675456</v>
      </c>
      <c r="Y25" s="103" t="s">
        <v>93</v>
      </c>
      <c r="Z25" s="103">
        <f>IF(COUNT(C6:AA13)=0,"",Z24+X27)</f>
        <v>1.67782554666667</v>
      </c>
      <c r="AA25" s="168">
        <v>5</v>
      </c>
      <c r="AB25" s="147"/>
      <c r="AC25" s="166"/>
      <c r="AD25" s="6"/>
      <c r="AE25" s="159" t="s">
        <v>62</v>
      </c>
      <c r="AF25" s="155">
        <f>IF(COUNT(C6:AA13)=0,"",X36-2*X38)</f>
        <v>0.0017267067927773</v>
      </c>
      <c r="AG25" s="155">
        <f>$AF$25</f>
        <v>0.0017267067927773</v>
      </c>
      <c r="AH25" s="155">
        <f t="shared" ref="AH25:AQ25" si="30">$AF$25</f>
        <v>0.0017267067927773</v>
      </c>
      <c r="AI25" s="155">
        <f t="shared" si="30"/>
        <v>0.0017267067927773</v>
      </c>
      <c r="AJ25" s="155">
        <f t="shared" si="30"/>
        <v>0.0017267067927773</v>
      </c>
      <c r="AK25" s="155">
        <f t="shared" si="30"/>
        <v>0.0017267067927773</v>
      </c>
      <c r="AL25" s="155">
        <f t="shared" si="30"/>
        <v>0.0017267067927773</v>
      </c>
      <c r="AM25" s="155">
        <f t="shared" si="30"/>
        <v>0.0017267067927773</v>
      </c>
      <c r="AN25" s="155">
        <f t="shared" si="30"/>
        <v>0.0017267067927773</v>
      </c>
      <c r="AO25" s="155">
        <f t="shared" si="30"/>
        <v>0.0017267067927773</v>
      </c>
      <c r="AP25" s="155">
        <f t="shared" si="30"/>
        <v>0.0017267067927773</v>
      </c>
      <c r="AQ25" s="155">
        <f t="shared" si="30"/>
        <v>0.0017267067927773</v>
      </c>
      <c r="AR25" s="155">
        <f t="shared" ref="AR25:BD25" si="31">$AF$25</f>
        <v>0.0017267067927773</v>
      </c>
      <c r="AS25" s="155">
        <f t="shared" si="31"/>
        <v>0.0017267067927773</v>
      </c>
      <c r="AT25" s="155">
        <f t="shared" si="31"/>
        <v>0.0017267067927773</v>
      </c>
      <c r="AU25" s="155">
        <f t="shared" si="31"/>
        <v>0.0017267067927773</v>
      </c>
      <c r="AV25" s="155">
        <f t="shared" si="31"/>
        <v>0.0017267067927773</v>
      </c>
      <c r="AW25" s="155">
        <f t="shared" si="31"/>
        <v>0.0017267067927773</v>
      </c>
      <c r="AX25" s="155">
        <f t="shared" si="31"/>
        <v>0.0017267067927773</v>
      </c>
      <c r="AY25" s="155">
        <f t="shared" si="31"/>
        <v>0.0017267067927773</v>
      </c>
      <c r="AZ25" s="155">
        <f t="shared" si="31"/>
        <v>0.0017267067927773</v>
      </c>
      <c r="BA25" s="155">
        <f t="shared" si="31"/>
        <v>0.0017267067927773</v>
      </c>
      <c r="BB25" s="155">
        <f t="shared" si="31"/>
        <v>0.0017267067927773</v>
      </c>
      <c r="BC25" s="155">
        <f t="shared" si="31"/>
        <v>0.0017267067927773</v>
      </c>
      <c r="BD25" s="155">
        <f t="shared" si="31"/>
        <v>0.0017267067927773</v>
      </c>
      <c r="BE25" s="6"/>
      <c r="BF25" s="6"/>
      <c r="BH25" s="229">
        <f t="shared" si="22"/>
        <v>1.60604</v>
      </c>
      <c r="BI25" s="227">
        <f t="shared" si="23"/>
        <v>4.48100586979172e-33</v>
      </c>
      <c r="BJ25" s="227"/>
      <c r="BK25" s="223"/>
      <c r="BL25" s="227">
        <f>X25</f>
        <v>1.675456</v>
      </c>
      <c r="BM25" s="227">
        <f>BM24+$BT$17</f>
        <v>1.67625</v>
      </c>
      <c r="BN25" s="227">
        <v>21</v>
      </c>
      <c r="BO25" s="234">
        <f t="shared" si="19"/>
        <v>21</v>
      </c>
      <c r="BP25" s="226"/>
      <c r="BQ25" s="226"/>
      <c r="BR25" s="224"/>
      <c r="BS25" s="235"/>
      <c r="BT25" s="235"/>
      <c r="BU25" s="235"/>
    </row>
    <row r="26" ht="20" customHeight="1" spans="2:73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100" t="s">
        <v>94</v>
      </c>
      <c r="W26" s="101"/>
      <c r="X26" s="103">
        <f>IF(COUNT(C6:AA13)=0,"",X25-(X34*LOOKUP(X20,AE31:AE38,AF31:AF38)))</f>
        <v>1.66834736</v>
      </c>
      <c r="Y26" s="103" t="s">
        <v>95</v>
      </c>
      <c r="Z26" s="103">
        <f>IF(COUNT(C6:AA13)=0,"",Z25+X27)</f>
        <v>1.68019509333333</v>
      </c>
      <c r="AA26" s="168">
        <v>0</v>
      </c>
      <c r="AB26" s="147"/>
      <c r="AC26" s="6"/>
      <c r="AD26" s="6"/>
      <c r="AE26" s="23" t="s">
        <v>66</v>
      </c>
      <c r="AF26" s="155">
        <f>X37</f>
        <v>0</v>
      </c>
      <c r="AG26" s="155">
        <f>$AF$26</f>
        <v>0</v>
      </c>
      <c r="AH26" s="155">
        <f t="shared" ref="AH26:AQ26" si="32">$AF$26</f>
        <v>0</v>
      </c>
      <c r="AI26" s="155">
        <f t="shared" si="32"/>
        <v>0</v>
      </c>
      <c r="AJ26" s="155">
        <f t="shared" si="32"/>
        <v>0</v>
      </c>
      <c r="AK26" s="155">
        <f t="shared" si="32"/>
        <v>0</v>
      </c>
      <c r="AL26" s="155">
        <f t="shared" si="32"/>
        <v>0</v>
      </c>
      <c r="AM26" s="155">
        <f t="shared" si="32"/>
        <v>0</v>
      </c>
      <c r="AN26" s="155">
        <f t="shared" si="32"/>
        <v>0</v>
      </c>
      <c r="AO26" s="155">
        <f t="shared" si="32"/>
        <v>0</v>
      </c>
      <c r="AP26" s="155">
        <f t="shared" si="32"/>
        <v>0</v>
      </c>
      <c r="AQ26" s="155">
        <f t="shared" si="32"/>
        <v>0</v>
      </c>
      <c r="AR26" s="155">
        <f t="shared" ref="AR26:BD26" si="33">$AF$26</f>
        <v>0</v>
      </c>
      <c r="AS26" s="155">
        <f t="shared" si="33"/>
        <v>0</v>
      </c>
      <c r="AT26" s="155">
        <f t="shared" si="33"/>
        <v>0</v>
      </c>
      <c r="AU26" s="155">
        <f t="shared" si="33"/>
        <v>0</v>
      </c>
      <c r="AV26" s="155">
        <f t="shared" si="33"/>
        <v>0</v>
      </c>
      <c r="AW26" s="155">
        <f t="shared" si="33"/>
        <v>0</v>
      </c>
      <c r="AX26" s="155">
        <f t="shared" si="33"/>
        <v>0</v>
      </c>
      <c r="AY26" s="155">
        <f t="shared" si="33"/>
        <v>0</v>
      </c>
      <c r="AZ26" s="155">
        <f t="shared" si="33"/>
        <v>0</v>
      </c>
      <c r="BA26" s="155">
        <f t="shared" si="33"/>
        <v>0</v>
      </c>
      <c r="BB26" s="155">
        <f t="shared" si="33"/>
        <v>0</v>
      </c>
      <c r="BC26" s="155">
        <f t="shared" si="33"/>
        <v>0</v>
      </c>
      <c r="BD26" s="155">
        <f t="shared" si="33"/>
        <v>0</v>
      </c>
      <c r="BE26" s="6"/>
      <c r="BF26" s="6"/>
      <c r="BH26" s="229">
        <f t="shared" si="22"/>
        <v>1.60668</v>
      </c>
      <c r="BI26" s="227">
        <f t="shared" si="23"/>
        <v>1.8638516559026e-32</v>
      </c>
      <c r="BJ26" s="227"/>
      <c r="BK26" s="223"/>
      <c r="BL26" s="227">
        <f>BL25+X38</f>
        <v>1.68075264660361</v>
      </c>
      <c r="BM26" s="227">
        <f t="shared" ref="BM22:BM52" si="34">BM25+$BT$17</f>
        <v>1.67875</v>
      </c>
      <c r="BN26" s="227">
        <v>16</v>
      </c>
      <c r="BO26" s="234">
        <f t="shared" si="19"/>
        <v>16</v>
      </c>
      <c r="BP26" s="226"/>
      <c r="BQ26" s="226"/>
      <c r="BR26" s="224"/>
      <c r="BS26" s="235"/>
      <c r="BT26" s="235"/>
      <c r="BU26" s="235"/>
    </row>
    <row r="27" ht="20" customHeight="1" spans="2:73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104" t="s">
        <v>96</v>
      </c>
      <c r="W27" s="105"/>
      <c r="X27" s="106">
        <f>IF(COUNT(C6:AA13)=0,"",(X24-X25)/3)</f>
        <v>0.00236954666666667</v>
      </c>
      <c r="Y27" s="106" t="s">
        <v>97</v>
      </c>
      <c r="Z27" s="106">
        <f>IF(COUNT(C6:AA13)=0,"",X24)</f>
        <v>1.68256464</v>
      </c>
      <c r="AA27" s="170">
        <v>0</v>
      </c>
      <c r="AB27" s="147"/>
      <c r="AC27" s="6"/>
      <c r="AD27" s="6"/>
      <c r="AE27" s="57"/>
      <c r="AF27" s="57"/>
      <c r="AG27" s="57"/>
      <c r="AH27" s="57"/>
      <c r="AI27" s="57"/>
      <c r="AJ27" s="57"/>
      <c r="AK27" s="57"/>
      <c r="AL27" s="57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H27" s="229">
        <f t="shared" si="22"/>
        <v>1.60732</v>
      </c>
      <c r="BI27" s="227">
        <f t="shared" si="23"/>
        <v>7.65091488880445e-32</v>
      </c>
      <c r="BJ27" s="227"/>
      <c r="BK27" s="223"/>
      <c r="BL27" s="227">
        <f>BL26+X38</f>
        <v>1.68604929320722</v>
      </c>
      <c r="BM27" s="227">
        <f t="shared" si="34"/>
        <v>1.68125</v>
      </c>
      <c r="BN27" s="227">
        <v>21</v>
      </c>
      <c r="BO27" s="234">
        <f t="shared" si="19"/>
        <v>21</v>
      </c>
      <c r="BP27" s="226"/>
      <c r="BQ27" s="226"/>
      <c r="BR27" s="224"/>
      <c r="BS27" s="235"/>
      <c r="BT27" s="235"/>
      <c r="BU27" s="235"/>
    </row>
    <row r="28" ht="14" customHeight="1" spans="2:73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6"/>
      <c r="AC28" s="6"/>
      <c r="AD28" s="6"/>
      <c r="AE28" s="164"/>
      <c r="AF28" s="164"/>
      <c r="AG28" s="207"/>
      <c r="AH28" s="164"/>
      <c r="AI28" s="164"/>
      <c r="AJ28" s="164"/>
      <c r="AK28" s="164"/>
      <c r="AL28" s="164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H28" s="229">
        <f t="shared" si="22"/>
        <v>1.60796</v>
      </c>
      <c r="BI28" s="227">
        <f t="shared" si="23"/>
        <v>3.09942829548108e-31</v>
      </c>
      <c r="BJ28" s="227"/>
      <c r="BK28" s="223"/>
      <c r="BL28" s="227">
        <f>BL27+X38</f>
        <v>1.69134593981083</v>
      </c>
      <c r="BM28" s="227">
        <f t="shared" si="34"/>
        <v>1.68375</v>
      </c>
      <c r="BN28" s="227">
        <v>12</v>
      </c>
      <c r="BO28" s="234">
        <f t="shared" si="19"/>
        <v>12</v>
      </c>
      <c r="BP28" s="226"/>
      <c r="BQ28" s="226"/>
      <c r="BR28" s="224"/>
      <c r="BS28" s="235"/>
      <c r="BT28" s="235"/>
      <c r="BU28" s="235"/>
    </row>
    <row r="29" ht="20" customHeight="1" spans="2:73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107" t="s">
        <v>98</v>
      </c>
      <c r="W29" s="108"/>
      <c r="X29" s="108"/>
      <c r="Y29" s="108"/>
      <c r="Z29" s="108"/>
      <c r="AA29" s="171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200"/>
      <c r="AT29" s="200"/>
      <c r="AU29" s="200"/>
      <c r="AV29" s="200"/>
      <c r="AW29" s="200"/>
      <c r="AX29" s="200"/>
      <c r="AY29" s="200"/>
      <c r="AZ29" s="200"/>
      <c r="BA29" s="6"/>
      <c r="BB29" s="6"/>
      <c r="BC29" s="6"/>
      <c r="BD29" s="6"/>
      <c r="BE29" s="6"/>
      <c r="BF29" s="6"/>
      <c r="BH29" s="229">
        <f t="shared" si="22"/>
        <v>1.6086</v>
      </c>
      <c r="BI29" s="227">
        <f t="shared" si="23"/>
        <v>1.23912754764688e-30</v>
      </c>
      <c r="BJ29" s="227"/>
      <c r="BK29" s="223"/>
      <c r="BL29" s="227">
        <f>BL28+X38</f>
        <v>1.69664258641445</v>
      </c>
      <c r="BM29" s="227">
        <f t="shared" si="34"/>
        <v>1.68625</v>
      </c>
      <c r="BN29" s="227">
        <v>9</v>
      </c>
      <c r="BO29" s="234">
        <f t="shared" si="19"/>
        <v>9</v>
      </c>
      <c r="BP29" s="226"/>
      <c r="BQ29" s="226"/>
      <c r="BR29" s="224"/>
      <c r="BS29" s="235"/>
      <c r="BT29" s="235"/>
      <c r="BU29" s="235"/>
    </row>
    <row r="30" ht="20" customHeight="1" spans="2:73"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109" t="s">
        <v>74</v>
      </c>
      <c r="W30" s="110"/>
      <c r="X30" s="110" t="s">
        <v>75</v>
      </c>
      <c r="Y30" s="110" t="s">
        <v>76</v>
      </c>
      <c r="Z30" s="110" t="s">
        <v>77</v>
      </c>
      <c r="AA30" s="172" t="s">
        <v>78</v>
      </c>
      <c r="AB30" s="6"/>
      <c r="AC30" s="6"/>
      <c r="AD30" s="6"/>
      <c r="AE30" s="173" t="s">
        <v>99</v>
      </c>
      <c r="AF30" s="174"/>
      <c r="AG30" s="174"/>
      <c r="AH30" s="174"/>
      <c r="AI30" s="208"/>
      <c r="AJ30" s="209"/>
      <c r="AK30" s="209"/>
      <c r="AL30" s="210" t="s">
        <v>100</v>
      </c>
      <c r="AM30" s="210" t="s">
        <v>101</v>
      </c>
      <c r="AN30" s="210"/>
      <c r="AO30" s="210"/>
      <c r="AP30" s="210" t="s">
        <v>102</v>
      </c>
      <c r="AQ30" s="210"/>
      <c r="AR30" s="210"/>
      <c r="AS30" s="216"/>
      <c r="AT30" s="216"/>
      <c r="AU30" s="217"/>
      <c r="AV30" s="217"/>
      <c r="AW30" s="217"/>
      <c r="AX30" s="200"/>
      <c r="AY30" s="217"/>
      <c r="AZ30" s="200"/>
      <c r="BA30" s="6"/>
      <c r="BB30" s="6"/>
      <c r="BC30" s="6"/>
      <c r="BD30" s="6"/>
      <c r="BE30" s="6"/>
      <c r="BF30" s="6"/>
      <c r="BH30" s="229">
        <f t="shared" si="22"/>
        <v>1.60924</v>
      </c>
      <c r="BI30" s="227">
        <f t="shared" si="23"/>
        <v>4.88896160439374e-30</v>
      </c>
      <c r="BJ30" s="227"/>
      <c r="BK30" s="223"/>
      <c r="BL30" s="227">
        <f>BL29+X38</f>
        <v>1.70193923301806</v>
      </c>
      <c r="BM30" s="227">
        <f t="shared" si="34"/>
        <v>1.68875</v>
      </c>
      <c r="BN30" s="227">
        <v>0</v>
      </c>
      <c r="BO30" s="234">
        <f t="shared" si="19"/>
        <v>0</v>
      </c>
      <c r="BP30" s="226"/>
      <c r="BQ30" s="226"/>
      <c r="BR30" s="224"/>
      <c r="BS30" s="235"/>
      <c r="BT30" s="235"/>
      <c r="BU30" s="235"/>
    </row>
    <row r="31" ht="20" customHeight="1" spans="2:73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111" t="s">
        <v>83</v>
      </c>
      <c r="W31" s="112"/>
      <c r="X31" s="113">
        <f>IF(COUNT(C6:AA13)=0,"",COUNTA(C6:C13))</f>
        <v>5</v>
      </c>
      <c r="Y31" s="113" t="s">
        <v>84</v>
      </c>
      <c r="Z31" s="114"/>
      <c r="AA31" s="175">
        <f t="array" ref="AA31:AA38">IF(COUNT(C6:AA13)=0,"",FREQUENCY(C16:AA16,Z31:Z38))</f>
        <v>0</v>
      </c>
      <c r="AB31" s="6"/>
      <c r="AC31" s="6"/>
      <c r="AD31" s="6"/>
      <c r="AE31" s="23" t="s">
        <v>103</v>
      </c>
      <c r="AF31" s="23" t="s">
        <v>104</v>
      </c>
      <c r="AG31" s="23" t="s">
        <v>105</v>
      </c>
      <c r="AH31" s="23" t="s">
        <v>106</v>
      </c>
      <c r="AI31" s="23" t="s">
        <v>107</v>
      </c>
      <c r="AJ31" s="6"/>
      <c r="AK31" s="6"/>
      <c r="AL31" s="211" t="s">
        <v>108</v>
      </c>
      <c r="AM31" s="212" t="s">
        <v>109</v>
      </c>
      <c r="AN31" s="212"/>
      <c r="AO31" s="212"/>
      <c r="AP31" s="211" t="s">
        <v>110</v>
      </c>
      <c r="AQ31" s="211"/>
      <c r="AR31" s="211"/>
      <c r="AS31" s="218"/>
      <c r="AT31" s="218"/>
      <c r="AU31" s="219"/>
      <c r="AV31" s="219"/>
      <c r="AW31" s="219"/>
      <c r="AX31" s="200"/>
      <c r="AY31" s="219"/>
      <c r="AZ31" s="200"/>
      <c r="BA31" s="6"/>
      <c r="BB31" s="6"/>
      <c r="BC31" s="6"/>
      <c r="BD31" s="6"/>
      <c r="BE31" s="6"/>
      <c r="BF31" s="6"/>
      <c r="BH31" s="229">
        <f t="shared" si="22"/>
        <v>1.60988</v>
      </c>
      <c r="BI31" s="227">
        <f t="shared" si="23"/>
        <v>1.90363392928751e-29</v>
      </c>
      <c r="BJ31" s="227"/>
      <c r="BK31" s="223"/>
      <c r="BL31" s="227">
        <f>BL30+X38</f>
        <v>1.70723587962167</v>
      </c>
      <c r="BM31" s="227">
        <f t="shared" si="34"/>
        <v>1.69125</v>
      </c>
      <c r="BN31" s="227">
        <v>0</v>
      </c>
      <c r="BO31" s="234">
        <f>SUM(BN31:BN52)</f>
        <v>0</v>
      </c>
      <c r="BP31" s="226"/>
      <c r="BQ31" s="226"/>
      <c r="BR31" s="224"/>
      <c r="BS31" s="235"/>
      <c r="BT31" s="235"/>
      <c r="BU31" s="235"/>
    </row>
    <row r="32" ht="20" customHeight="1" spans="2:73"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111" t="s">
        <v>85</v>
      </c>
      <c r="W32" s="112"/>
      <c r="X32" s="113">
        <f>IF(COUNT(C6:AA13)=0,"",COUNTA(C6:AA6))</f>
        <v>25</v>
      </c>
      <c r="Y32" s="113" t="s">
        <v>86</v>
      </c>
      <c r="Z32" s="114">
        <f>IF(COUNT(C6:AA13)=0,"",X37)</f>
        <v>0</v>
      </c>
      <c r="AA32" s="175">
        <v>0</v>
      </c>
      <c r="AB32" s="6"/>
      <c r="AC32" s="6"/>
      <c r="AD32" s="6"/>
      <c r="AE32" s="50">
        <v>2</v>
      </c>
      <c r="AF32" s="176">
        <v>1.88</v>
      </c>
      <c r="AG32" s="176">
        <v>0</v>
      </c>
      <c r="AH32" s="176">
        <v>3.267</v>
      </c>
      <c r="AI32" s="176">
        <v>1.128</v>
      </c>
      <c r="AJ32" s="6"/>
      <c r="AK32" s="6"/>
      <c r="AL32" s="211" t="s">
        <v>111</v>
      </c>
      <c r="AM32" s="212" t="s">
        <v>112</v>
      </c>
      <c r="AN32" s="212"/>
      <c r="AO32" s="212"/>
      <c r="AP32" s="211" t="s">
        <v>113</v>
      </c>
      <c r="AQ32" s="211"/>
      <c r="AR32" s="211"/>
      <c r="AS32" s="218"/>
      <c r="AT32" s="218"/>
      <c r="AU32" s="219"/>
      <c r="AV32" s="219"/>
      <c r="AW32" s="219"/>
      <c r="AX32" s="200"/>
      <c r="AY32" s="219"/>
      <c r="AZ32" s="200"/>
      <c r="BA32" s="6"/>
      <c r="BB32" s="6"/>
      <c r="BC32" s="6"/>
      <c r="BD32" s="6"/>
      <c r="BE32" s="6"/>
      <c r="BF32" s="6"/>
      <c r="BH32" s="229">
        <f t="shared" si="22"/>
        <v>1.61052</v>
      </c>
      <c r="BI32" s="227">
        <f t="shared" si="23"/>
        <v>7.31503558142093e-29</v>
      </c>
      <c r="BJ32" s="227"/>
      <c r="BK32" s="223"/>
      <c r="BL32" s="230"/>
      <c r="BM32" s="227">
        <f t="shared" si="34"/>
        <v>1.69375</v>
      </c>
      <c r="BN32" s="227">
        <v>0</v>
      </c>
      <c r="BO32" s="230"/>
      <c r="BP32" s="226"/>
      <c r="BQ32" s="226"/>
      <c r="BR32" s="224"/>
      <c r="BS32" s="235"/>
      <c r="BT32" s="235"/>
      <c r="BU32" s="235"/>
    </row>
    <row r="33" ht="20" customHeight="1" spans="2:73"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111" t="s">
        <v>87</v>
      </c>
      <c r="W33" s="112"/>
      <c r="X33" s="113">
        <f>IF(COUNT(C6:AA13)=0,"",COUNTA(C6:AA13))</f>
        <v>125</v>
      </c>
      <c r="Y33" s="113" t="s">
        <v>88</v>
      </c>
      <c r="Z33" s="114">
        <f>IF(COUNT(C6:AA13)=0,"",Z34-X38)</f>
        <v>0.0017267067927773</v>
      </c>
      <c r="AA33" s="175">
        <v>1</v>
      </c>
      <c r="AB33" s="6"/>
      <c r="AC33" s="6"/>
      <c r="AD33" s="6"/>
      <c r="AE33" s="50">
        <v>3</v>
      </c>
      <c r="AF33" s="176">
        <v>1.023</v>
      </c>
      <c r="AG33" s="176">
        <v>0</v>
      </c>
      <c r="AH33" s="176">
        <v>2.574</v>
      </c>
      <c r="AI33" s="176">
        <v>1.693</v>
      </c>
      <c r="AL33" s="211" t="s">
        <v>114</v>
      </c>
      <c r="AM33" s="212" t="s">
        <v>115</v>
      </c>
      <c r="AN33" s="212"/>
      <c r="AO33" s="212"/>
      <c r="AP33" s="211" t="s">
        <v>116</v>
      </c>
      <c r="AQ33" s="211"/>
      <c r="AR33" s="211"/>
      <c r="AS33" s="218"/>
      <c r="AT33" s="218"/>
      <c r="AU33" s="219"/>
      <c r="AV33" s="219"/>
      <c r="AW33" s="219"/>
      <c r="AX33" s="200"/>
      <c r="AY33" s="219"/>
      <c r="AZ33" s="200"/>
      <c r="BA33" s="6"/>
      <c r="BB33" s="6"/>
      <c r="BC33" s="6"/>
      <c r="BD33" s="6"/>
      <c r="BE33" s="6"/>
      <c r="BF33" s="6"/>
      <c r="BH33" s="229">
        <f t="shared" si="22"/>
        <v>1.61116</v>
      </c>
      <c r="BI33" s="227">
        <f t="shared" si="23"/>
        <v>2.77405868889431e-28</v>
      </c>
      <c r="BJ33" s="227"/>
      <c r="BK33" s="223"/>
      <c r="BL33" s="230"/>
      <c r="BM33" s="227">
        <f t="shared" si="34"/>
        <v>1.69625</v>
      </c>
      <c r="BN33" s="227">
        <v>0</v>
      </c>
      <c r="BO33" s="230"/>
      <c r="BP33" s="226"/>
      <c r="BQ33" s="226"/>
      <c r="BR33" s="224"/>
      <c r="BS33" s="235"/>
      <c r="BT33" s="235"/>
      <c r="BU33" s="235"/>
    </row>
    <row r="34" ht="20" customHeight="1" spans="2:73"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111" t="s">
        <v>117</v>
      </c>
      <c r="W34" s="112"/>
      <c r="X34" s="114">
        <f>IF(COUNT(C6:AA13)=0,"",AVERAGE(C16:AA16))</f>
        <v>0.01232</v>
      </c>
      <c r="Y34" s="114" t="s">
        <v>89</v>
      </c>
      <c r="Z34" s="114">
        <f>IF(COUNT(C6:AA13)=0,"",Z35-X38)</f>
        <v>0.00702335339638866</v>
      </c>
      <c r="AA34" s="175">
        <v>11</v>
      </c>
      <c r="AB34" s="177"/>
      <c r="AC34" s="6"/>
      <c r="AD34" s="6"/>
      <c r="AE34" s="50">
        <v>4</v>
      </c>
      <c r="AF34" s="176">
        <v>0.729</v>
      </c>
      <c r="AG34" s="176">
        <v>0</v>
      </c>
      <c r="AH34" s="176">
        <v>2.282</v>
      </c>
      <c r="AI34" s="176">
        <v>2.059</v>
      </c>
      <c r="AJ34" s="200"/>
      <c r="AK34" s="200"/>
      <c r="AL34" s="211" t="s">
        <v>118</v>
      </c>
      <c r="AM34" s="212" t="s">
        <v>119</v>
      </c>
      <c r="AN34" s="212"/>
      <c r="AO34" s="212"/>
      <c r="AP34" s="211" t="s">
        <v>120</v>
      </c>
      <c r="AQ34" s="211"/>
      <c r="AR34" s="211"/>
      <c r="AS34" s="218"/>
      <c r="AT34" s="218"/>
      <c r="AU34" s="219"/>
      <c r="AV34" s="219"/>
      <c r="AW34" s="219"/>
      <c r="AX34" s="200"/>
      <c r="AY34" s="219"/>
      <c r="AZ34" s="200"/>
      <c r="BA34" s="6"/>
      <c r="BB34" s="6"/>
      <c r="BC34" s="6"/>
      <c r="BD34" s="6"/>
      <c r="BE34" s="6"/>
      <c r="BF34" s="6"/>
      <c r="BH34" s="229">
        <f t="shared" si="22"/>
        <v>1.6118</v>
      </c>
      <c r="BI34" s="227">
        <f t="shared" si="23"/>
        <v>1.03820004347105e-27</v>
      </c>
      <c r="BJ34" s="227"/>
      <c r="BK34" s="223"/>
      <c r="BL34" s="230"/>
      <c r="BM34" s="227">
        <f t="shared" si="34"/>
        <v>1.69875</v>
      </c>
      <c r="BN34" s="227">
        <v>0</v>
      </c>
      <c r="BO34" s="230"/>
      <c r="BP34" s="226"/>
      <c r="BQ34" s="226"/>
      <c r="BR34" s="224"/>
      <c r="BS34" s="235"/>
      <c r="BT34" s="235"/>
      <c r="BU34" s="235"/>
    </row>
    <row r="35" ht="20" customHeight="1" spans="2:73"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111" t="s">
        <v>90</v>
      </c>
      <c r="W35" s="112"/>
      <c r="X35" s="114">
        <f>IF(COUNT(C6:AA13)=0,"",LOOKUP(X31,AE31:AE38,AH31:AH38)*X36)</f>
        <v>0.02604448</v>
      </c>
      <c r="Y35" s="114" t="s">
        <v>91</v>
      </c>
      <c r="Z35" s="114">
        <f>IF(COUNT(C6:AA13)=0,"",X36)</f>
        <v>0.01232</v>
      </c>
      <c r="AA35" s="175">
        <v>12</v>
      </c>
      <c r="AB35" s="177"/>
      <c r="AC35" s="6"/>
      <c r="AD35" s="6"/>
      <c r="AE35" s="50">
        <v>5</v>
      </c>
      <c r="AF35" s="176">
        <v>0.577</v>
      </c>
      <c r="AG35" s="176">
        <v>0</v>
      </c>
      <c r="AH35" s="176">
        <v>2.114</v>
      </c>
      <c r="AI35" s="176">
        <v>2.326</v>
      </c>
      <c r="AJ35" s="200"/>
      <c r="AK35" s="200"/>
      <c r="AL35" s="200"/>
      <c r="AM35" s="200"/>
      <c r="AN35" s="200"/>
      <c r="AO35" s="200"/>
      <c r="AP35" s="200"/>
      <c r="AQ35" s="200"/>
      <c r="AR35" s="6"/>
      <c r="AS35" s="200"/>
      <c r="AT35" s="200"/>
      <c r="AU35" s="200"/>
      <c r="AV35" s="200"/>
      <c r="AW35" s="200"/>
      <c r="AX35" s="200"/>
      <c r="AY35" s="6"/>
      <c r="AZ35" s="6"/>
      <c r="BA35" s="6"/>
      <c r="BB35" s="6"/>
      <c r="BC35" s="6"/>
      <c r="BD35" s="6"/>
      <c r="BE35" s="6"/>
      <c r="BF35" s="6"/>
      <c r="BH35" s="229">
        <f t="shared" si="22"/>
        <v>1.61244</v>
      </c>
      <c r="BI35" s="227">
        <f t="shared" si="23"/>
        <v>3.83453438380716e-27</v>
      </c>
      <c r="BJ35" s="227"/>
      <c r="BK35" s="223"/>
      <c r="BL35" s="230"/>
      <c r="BM35" s="227">
        <f t="shared" si="34"/>
        <v>1.70125</v>
      </c>
      <c r="BN35" s="227">
        <v>0</v>
      </c>
      <c r="BO35" s="230"/>
      <c r="BP35" s="226"/>
      <c r="BQ35" s="226"/>
      <c r="BR35" s="224"/>
      <c r="BS35" s="235"/>
      <c r="BT35" s="235"/>
      <c r="BU35" s="235"/>
    </row>
    <row r="36" ht="20" customHeight="1" spans="2:73"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111" t="s">
        <v>92</v>
      </c>
      <c r="W36" s="112"/>
      <c r="X36" s="114">
        <f>IF(COUNT(C6:AA13)=0,"",X34)</f>
        <v>0.01232</v>
      </c>
      <c r="Y36" s="114" t="s">
        <v>93</v>
      </c>
      <c r="Z36" s="114">
        <f>IF(COUNT(C6:AA13)=0,"",Z35+X38)</f>
        <v>0.0176166466036114</v>
      </c>
      <c r="AA36" s="175">
        <v>1</v>
      </c>
      <c r="AB36" s="177"/>
      <c r="AC36" s="6"/>
      <c r="AD36" s="6"/>
      <c r="AE36" s="50">
        <v>6</v>
      </c>
      <c r="AF36" s="176">
        <v>0.483</v>
      </c>
      <c r="AG36" s="176">
        <v>0</v>
      </c>
      <c r="AH36" s="176">
        <v>2.004</v>
      </c>
      <c r="AI36" s="176">
        <v>2.534</v>
      </c>
      <c r="AJ36" s="213"/>
      <c r="AK36" s="213"/>
      <c r="AL36" s="214"/>
      <c r="AM36" s="214"/>
      <c r="AN36" s="214"/>
      <c r="AO36" s="214"/>
      <c r="AP36" s="214"/>
      <c r="AQ36" s="200"/>
      <c r="AR36" s="6"/>
      <c r="AS36" s="200"/>
      <c r="AT36" s="200"/>
      <c r="AU36" s="200"/>
      <c r="AV36" s="200"/>
      <c r="AW36" s="200"/>
      <c r="AX36" s="200"/>
      <c r="AY36" s="6"/>
      <c r="AZ36" s="6"/>
      <c r="BA36" s="6"/>
      <c r="BB36" s="6"/>
      <c r="BC36" s="6"/>
      <c r="BD36" s="6"/>
      <c r="BE36" s="6"/>
      <c r="BF36" s="6"/>
      <c r="BH36" s="229">
        <f t="shared" si="22"/>
        <v>1.61308</v>
      </c>
      <c r="BI36" s="227">
        <f t="shared" si="23"/>
        <v>1.39768860952733e-26</v>
      </c>
      <c r="BJ36" s="227"/>
      <c r="BK36" s="223"/>
      <c r="BL36" s="230"/>
      <c r="BM36" s="227">
        <f t="shared" si="34"/>
        <v>1.70375</v>
      </c>
      <c r="BN36" s="227">
        <v>0</v>
      </c>
      <c r="BO36" s="230"/>
      <c r="BP36" s="236"/>
      <c r="BQ36" s="226"/>
      <c r="BR36" s="224"/>
      <c r="BS36" s="235"/>
      <c r="BT36" s="235"/>
      <c r="BU36" s="235"/>
    </row>
    <row r="37" ht="20" customHeight="1" spans="2:73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111" t="s">
        <v>94</v>
      </c>
      <c r="W37" s="112"/>
      <c r="X37" s="114">
        <f>IF(COUNT(C6:AA13)=0,"",LOOKUP(X31,AE31:AE38,AG31:AG38)*X36)</f>
        <v>0</v>
      </c>
      <c r="Y37" s="114" t="s">
        <v>95</v>
      </c>
      <c r="Z37" s="114">
        <f>IF(COUNT(C6:AA13)=0,"",Z36+X38)</f>
        <v>0.0229132932072227</v>
      </c>
      <c r="AA37" s="175">
        <v>0</v>
      </c>
      <c r="AB37" s="177"/>
      <c r="AC37" s="6"/>
      <c r="AD37" s="6"/>
      <c r="AE37" s="50">
        <v>7</v>
      </c>
      <c r="AF37" s="176">
        <v>0.419</v>
      </c>
      <c r="AG37" s="176">
        <v>0.076</v>
      </c>
      <c r="AH37" s="176">
        <v>1.924</v>
      </c>
      <c r="AI37" s="176">
        <v>2.704</v>
      </c>
      <c r="AJ37" s="200"/>
      <c r="AK37" s="200"/>
      <c r="AL37" s="200"/>
      <c r="AM37" s="200"/>
      <c r="AN37" s="200"/>
      <c r="AO37" s="200"/>
      <c r="AP37" s="200"/>
      <c r="AQ37" s="200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H37" s="229">
        <f t="shared" si="22"/>
        <v>1.61372</v>
      </c>
      <c r="BI37" s="227">
        <f t="shared" si="23"/>
        <v>5.02775852715582e-26</v>
      </c>
      <c r="BJ37" s="227"/>
      <c r="BK37" s="223"/>
      <c r="BL37" s="230"/>
      <c r="BM37" s="227">
        <f t="shared" si="34"/>
        <v>1.70625</v>
      </c>
      <c r="BN37" s="227">
        <v>0</v>
      </c>
      <c r="BO37" s="230"/>
      <c r="BP37" s="226"/>
      <c r="BQ37" s="226"/>
      <c r="BR37" s="224"/>
      <c r="BS37" s="235"/>
      <c r="BT37" s="235"/>
      <c r="BU37" s="235"/>
    </row>
    <row r="38" ht="20" customHeight="1" spans="2:73">
      <c r="B38" s="4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115" t="s">
        <v>96</v>
      </c>
      <c r="W38" s="116"/>
      <c r="X38" s="117">
        <f>IF(COUNT(C6:AA13)=0,"",X36/LOOKUP(X20,AE31:AE38,AI31:AI38))</f>
        <v>0.00529664660361136</v>
      </c>
      <c r="Y38" s="117" t="s">
        <v>97</v>
      </c>
      <c r="Z38" s="117">
        <f>IF(COUNT(C6:AA13)=0,"",X35)</f>
        <v>0.02604448</v>
      </c>
      <c r="AA38" s="178">
        <v>0</v>
      </c>
      <c r="AB38" s="177"/>
      <c r="AC38" s="6"/>
      <c r="AD38" s="6"/>
      <c r="AE38" s="50">
        <v>8</v>
      </c>
      <c r="AF38" s="176">
        <v>0.373</v>
      </c>
      <c r="AG38" s="176">
        <v>0.136</v>
      </c>
      <c r="AH38" s="176">
        <v>1.864</v>
      </c>
      <c r="AI38" s="176">
        <v>2.847</v>
      </c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H38" s="229">
        <f t="shared" si="22"/>
        <v>1.61436</v>
      </c>
      <c r="BI38" s="227">
        <f t="shared" si="23"/>
        <v>1.78486179041813e-25</v>
      </c>
      <c r="BJ38" s="227"/>
      <c r="BK38" s="223"/>
      <c r="BL38" s="230"/>
      <c r="BM38" s="227">
        <f t="shared" si="34"/>
        <v>1.70875</v>
      </c>
      <c r="BN38" s="227">
        <v>0</v>
      </c>
      <c r="BO38" s="230"/>
      <c r="BP38" s="226"/>
      <c r="BQ38" s="226"/>
      <c r="BR38" s="224"/>
      <c r="BS38" s="235"/>
      <c r="BT38" s="235"/>
      <c r="BU38" s="235"/>
    </row>
    <row r="39" ht="14" customHeight="1" spans="2:73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6"/>
      <c r="AC39" s="6"/>
      <c r="AD39" s="6"/>
      <c r="AE39" s="179"/>
      <c r="AF39" s="180"/>
      <c r="AG39" s="200"/>
      <c r="AH39" s="6"/>
      <c r="AI39" s="6"/>
      <c r="AJ39" s="145"/>
      <c r="AK39" s="145"/>
      <c r="AL39" s="145"/>
      <c r="AM39" s="145"/>
      <c r="AN39" s="6"/>
      <c r="AO39" s="6"/>
      <c r="AP39" s="6"/>
      <c r="AQ39" s="6"/>
      <c r="AR39" s="179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H39" s="229">
        <f>BN14</f>
        <v>1.615</v>
      </c>
      <c r="BI39" s="227">
        <f t="shared" si="23"/>
        <v>6.25318056598607e-25</v>
      </c>
      <c r="BJ39" s="227">
        <f>MAX(BI20:BI164)*0.8</f>
        <v>19.072817257246</v>
      </c>
      <c r="BK39" s="223"/>
      <c r="BL39" s="230"/>
      <c r="BM39" s="227">
        <f t="shared" si="34"/>
        <v>1.71125</v>
      </c>
      <c r="BN39" s="227">
        <v>0</v>
      </c>
      <c r="BO39" s="230"/>
      <c r="BP39" s="226"/>
      <c r="BQ39" s="226"/>
      <c r="BR39" s="224"/>
      <c r="BS39" s="235"/>
      <c r="BT39" s="235"/>
      <c r="BU39" s="235"/>
    </row>
    <row r="40" ht="19" customHeight="1" spans="2:73">
      <c r="B40" s="45" t="s">
        <v>121</v>
      </c>
      <c r="C40" s="46" t="s">
        <v>122</v>
      </c>
      <c r="D40" s="46" t="s">
        <v>123</v>
      </c>
      <c r="E40" s="46" t="s">
        <v>124</v>
      </c>
      <c r="F40" s="46" t="s">
        <v>123</v>
      </c>
      <c r="G40" s="47" t="s">
        <v>125</v>
      </c>
      <c r="H40" s="48"/>
      <c r="I40" s="48"/>
      <c r="J40" s="48"/>
      <c r="K40" s="48"/>
      <c r="L40" s="48"/>
      <c r="M40" s="78"/>
      <c r="N40" s="79"/>
      <c r="O40" s="79"/>
      <c r="P40" s="79"/>
      <c r="Q40" s="118"/>
      <c r="R40" s="119"/>
      <c r="S40" s="119"/>
      <c r="T40" s="119"/>
      <c r="U40" s="119"/>
      <c r="V40" s="120" t="s">
        <v>126</v>
      </c>
      <c r="W40" s="121"/>
      <c r="X40" s="122"/>
      <c r="Y40" s="181" t="s">
        <v>127</v>
      </c>
      <c r="Z40" s="182"/>
      <c r="AA40" s="183"/>
      <c r="AB40" s="6"/>
      <c r="AC40" s="6"/>
      <c r="AD40" s="6"/>
      <c r="AE40" s="179"/>
      <c r="AF40" s="180"/>
      <c r="AG40" s="200"/>
      <c r="AH40" s="6"/>
      <c r="AI40" s="6"/>
      <c r="AJ40" s="145"/>
      <c r="AK40" s="145"/>
      <c r="AL40" s="145"/>
      <c r="AM40" s="145"/>
      <c r="AN40" s="6"/>
      <c r="AO40" s="6"/>
      <c r="AP40" s="6"/>
      <c r="AQ40" s="6"/>
      <c r="AR40" s="179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H40" s="229">
        <f>BH39+$BQ$12</f>
        <v>1.61564</v>
      </c>
      <c r="BI40" s="227">
        <f t="shared" si="23"/>
        <v>2.16203909288039e-24</v>
      </c>
      <c r="BJ40" s="227"/>
      <c r="BK40" s="223"/>
      <c r="BL40" s="230"/>
      <c r="BM40" s="227">
        <f t="shared" si="34"/>
        <v>1.71375</v>
      </c>
      <c r="BN40" s="227">
        <v>0</v>
      </c>
      <c r="BO40" s="230"/>
      <c r="BP40" s="226"/>
      <c r="BQ40" s="226"/>
      <c r="BR40" s="224"/>
      <c r="BS40" s="235"/>
      <c r="BT40" s="235"/>
      <c r="BU40" s="235"/>
    </row>
    <row r="41" ht="19" customHeight="1" spans="2:73">
      <c r="B41" s="49" t="s">
        <v>108</v>
      </c>
      <c r="C41" s="50">
        <f>COUNTIF(AF43:BD43,"NG")</f>
        <v>0</v>
      </c>
      <c r="D41" s="50" t="str">
        <f>IF(C41&gt;0,"NG","OK")</f>
        <v>OK</v>
      </c>
      <c r="E41" s="50">
        <f>COUNTIF(AF55:BD55,"NG")</f>
        <v>0</v>
      </c>
      <c r="F41" s="50" t="str">
        <f>IF(E41&gt;0,"NG","OK")</f>
        <v>OK</v>
      </c>
      <c r="G41" s="51" t="s">
        <v>128</v>
      </c>
      <c r="H41" s="52"/>
      <c r="I41" s="52"/>
      <c r="J41" s="52"/>
      <c r="K41" s="52"/>
      <c r="L41" s="52"/>
      <c r="M41" s="80"/>
      <c r="N41" s="81"/>
      <c r="O41" s="82">
        <f>IF(COUNT(C6:AA13)=0,"",(N3+N4)/2)</f>
        <v>1.655</v>
      </c>
      <c r="P41" s="82"/>
      <c r="Q41" s="123"/>
      <c r="R41" s="124"/>
      <c r="S41" s="125"/>
      <c r="T41" s="125"/>
      <c r="U41" s="124"/>
      <c r="V41" s="126" t="s">
        <v>47</v>
      </c>
      <c r="W41" s="127" t="s">
        <v>129</v>
      </c>
      <c r="X41" s="128" t="s">
        <v>130</v>
      </c>
      <c r="Y41" s="127" t="s">
        <v>47</v>
      </c>
      <c r="Z41" s="127" t="s">
        <v>129</v>
      </c>
      <c r="AA41" s="184" t="s">
        <v>130</v>
      </c>
      <c r="AB41" s="185"/>
      <c r="AC41" s="6"/>
      <c r="AD41" s="6"/>
      <c r="AE41" s="186" t="s">
        <v>131</v>
      </c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6"/>
      <c r="BC41" s="186"/>
      <c r="BD41" s="186"/>
      <c r="BE41" s="6"/>
      <c r="BF41" s="6"/>
      <c r="BH41" s="229">
        <f t="shared" ref="BH41:BH72" si="35">BH40+$BQ$12</f>
        <v>1.61628</v>
      </c>
      <c r="BI41" s="227">
        <f t="shared" si="23"/>
        <v>7.37721279991963e-24</v>
      </c>
      <c r="BJ41" s="227"/>
      <c r="BK41" s="223"/>
      <c r="BL41" s="230"/>
      <c r="BM41" s="227">
        <f t="shared" si="34"/>
        <v>1.71625</v>
      </c>
      <c r="BN41" s="227">
        <v>0</v>
      </c>
      <c r="BO41" s="230"/>
      <c r="BP41" s="226"/>
      <c r="BQ41" s="226"/>
      <c r="BR41" s="224"/>
      <c r="BS41" s="235"/>
      <c r="BT41" s="235"/>
      <c r="BU41" s="235"/>
    </row>
    <row r="42" ht="19" customHeight="1" spans="2:73">
      <c r="B42" s="49" t="s">
        <v>111</v>
      </c>
      <c r="C42" s="50">
        <f t="shared" ref="C42:C48" si="36">COUNTIF(AF44:BD44,"NG")</f>
        <v>0</v>
      </c>
      <c r="D42" s="50" t="str">
        <f t="shared" ref="D42:D48" si="37">IF(C42&gt;0,"NG","OK")</f>
        <v>OK</v>
      </c>
      <c r="E42" s="50">
        <f t="shared" ref="E42:E48" si="38">COUNTIF(AF56:BD56,"NG")</f>
        <v>0</v>
      </c>
      <c r="F42" s="50" t="str">
        <f t="shared" ref="F42:F48" si="39">IF(E42&gt;0,"NG","OK")</f>
        <v>OK</v>
      </c>
      <c r="G42" s="51" t="s">
        <v>132</v>
      </c>
      <c r="H42" s="52"/>
      <c r="I42" s="52"/>
      <c r="J42" s="52"/>
      <c r="K42" s="52"/>
      <c r="L42" s="52"/>
      <c r="M42" s="80"/>
      <c r="N42" s="83">
        <f>IF(COUNT(C6:AA13)=0,"",N4)</f>
        <v>1.615</v>
      </c>
      <c r="O42" s="84"/>
      <c r="P42" s="84"/>
      <c r="Q42" s="129">
        <f>IF(COUNT(C6:AA13)=0,"",N3)</f>
        <v>1.695</v>
      </c>
      <c r="R42" s="124"/>
      <c r="S42" s="125"/>
      <c r="T42" s="125"/>
      <c r="U42" s="124"/>
      <c r="V42" s="130" t="s">
        <v>133</v>
      </c>
      <c r="W42" s="131">
        <f>IF(COUNT(C6:AA13)=0,"",AVERAGE(C16:AA16)/LOOKUP(X20,AE31:AE38,AI31:AI38))</f>
        <v>0.00529664660361136</v>
      </c>
      <c r="X42" s="132">
        <f>IF(COUNT(C6:AA13)=0,"",1-NORMSDIST((N3-BN15)/W42)+NORMSDIST((N4-BN15)/W42))</f>
        <v>0.000112179128280876</v>
      </c>
      <c r="Y42" s="187" t="s">
        <v>133</v>
      </c>
      <c r="Z42" s="155">
        <f>IF(COUNT(C6:AA13)=0,"",STDEV(C6:AA13))</f>
        <v>0.00556994237533174</v>
      </c>
      <c r="AA42" s="188">
        <f>IF(COUNT(C6:AA13)=0,"",1-NORMSDIST((N3-BN15)/Z42)+NORMSDIST((N4-BN15)/Z42))</f>
        <v>0.000225038344534911</v>
      </c>
      <c r="AB42" s="185"/>
      <c r="AC42" s="189"/>
      <c r="AD42" s="6"/>
      <c r="AE42" s="190" t="s">
        <v>47</v>
      </c>
      <c r="AF42" s="191">
        <v>1</v>
      </c>
      <c r="AG42" s="191">
        <v>2</v>
      </c>
      <c r="AH42" s="191">
        <v>3</v>
      </c>
      <c r="AI42" s="191">
        <v>4</v>
      </c>
      <c r="AJ42" s="191">
        <v>5</v>
      </c>
      <c r="AK42" s="191">
        <v>6</v>
      </c>
      <c r="AL42" s="191">
        <v>7</v>
      </c>
      <c r="AM42" s="191">
        <v>8</v>
      </c>
      <c r="AN42" s="191">
        <v>9</v>
      </c>
      <c r="AO42" s="191">
        <v>10</v>
      </c>
      <c r="AP42" s="191">
        <v>11</v>
      </c>
      <c r="AQ42" s="191">
        <v>12</v>
      </c>
      <c r="AR42" s="191">
        <v>13</v>
      </c>
      <c r="AS42" s="191">
        <v>14</v>
      </c>
      <c r="AT42" s="191">
        <v>15</v>
      </c>
      <c r="AU42" s="191">
        <v>16</v>
      </c>
      <c r="AV42" s="191">
        <v>17</v>
      </c>
      <c r="AW42" s="191">
        <v>18</v>
      </c>
      <c r="AX42" s="191">
        <v>19</v>
      </c>
      <c r="AY42" s="191">
        <v>20</v>
      </c>
      <c r="AZ42" s="191">
        <v>21</v>
      </c>
      <c r="BA42" s="191">
        <v>22</v>
      </c>
      <c r="BB42" s="191">
        <v>23</v>
      </c>
      <c r="BC42" s="191">
        <v>24</v>
      </c>
      <c r="BD42" s="191">
        <v>25</v>
      </c>
      <c r="BE42" s="6"/>
      <c r="BF42" s="6"/>
      <c r="BH42" s="229">
        <f t="shared" si="35"/>
        <v>1.61692</v>
      </c>
      <c r="BI42" s="227">
        <f t="shared" si="23"/>
        <v>2.4842041084176e-23</v>
      </c>
      <c r="BJ42" s="227"/>
      <c r="BK42" s="223"/>
      <c r="BL42" s="230"/>
      <c r="BM42" s="227">
        <f t="shared" si="34"/>
        <v>1.71875</v>
      </c>
      <c r="BN42" s="227">
        <v>0</v>
      </c>
      <c r="BO42" s="230"/>
      <c r="BP42" s="226"/>
      <c r="BQ42" s="226"/>
      <c r="BR42" s="224"/>
      <c r="BS42" s="235"/>
      <c r="BT42" s="235"/>
      <c r="BU42" s="235"/>
    </row>
    <row r="43" ht="19" customHeight="1" spans="2:73">
      <c r="B43" s="49" t="s">
        <v>114</v>
      </c>
      <c r="C43" s="50">
        <f t="shared" si="36"/>
        <v>0</v>
      </c>
      <c r="D43" s="50" t="str">
        <f t="shared" si="37"/>
        <v>OK</v>
      </c>
      <c r="E43" s="50">
        <f t="shared" si="38"/>
        <v>0</v>
      </c>
      <c r="F43" s="50" t="str">
        <f t="shared" si="39"/>
        <v>OK</v>
      </c>
      <c r="G43" s="51" t="s">
        <v>134</v>
      </c>
      <c r="H43" s="52"/>
      <c r="I43" s="52"/>
      <c r="J43" s="52"/>
      <c r="K43" s="52"/>
      <c r="L43" s="52"/>
      <c r="M43" s="80"/>
      <c r="N43" s="85"/>
      <c r="O43" s="86"/>
      <c r="P43" s="86"/>
      <c r="Q43" s="133"/>
      <c r="R43" s="124"/>
      <c r="S43" s="125"/>
      <c r="T43" s="125"/>
      <c r="U43" s="124"/>
      <c r="V43" s="134" t="s">
        <v>135</v>
      </c>
      <c r="W43" s="131">
        <f>IF(COUNT(C6:AA13)=0,"",(N3-N4)/(6*W42))</f>
        <v>2.51731601731602</v>
      </c>
      <c r="X43" s="135"/>
      <c r="Y43" s="192" t="s">
        <v>136</v>
      </c>
      <c r="Z43" s="155">
        <f>IF(COUNT(C6:AA13)=0,"",(N3-N4)/(6*Z42))</f>
        <v>2.39380094709494</v>
      </c>
      <c r="AA43" s="193"/>
      <c r="AB43" s="185"/>
      <c r="AC43" s="6"/>
      <c r="AD43" s="6"/>
      <c r="AE43" s="190" t="s">
        <v>108</v>
      </c>
      <c r="AF43" s="194" t="str">
        <f>IF(OR(C15&gt;AF9,C15&lt;AF15),"NG","OK")</f>
        <v>OK</v>
      </c>
      <c r="AG43" s="194" t="str">
        <f>IF(OR(D15&gt;AG9,D15&lt;AG15),"NG","OK")</f>
        <v>OK</v>
      </c>
      <c r="AH43" s="194" t="str">
        <f t="shared" ref="AG43:BD43" si="40">IF(OR(E15&gt;AH9,E15&lt;AH15),"NG","OK")</f>
        <v>OK</v>
      </c>
      <c r="AI43" s="194" t="str">
        <f t="shared" si="40"/>
        <v>OK</v>
      </c>
      <c r="AJ43" s="194" t="str">
        <f t="shared" si="40"/>
        <v>OK</v>
      </c>
      <c r="AK43" s="194" t="str">
        <f t="shared" si="40"/>
        <v>OK</v>
      </c>
      <c r="AL43" s="194" t="str">
        <f t="shared" si="40"/>
        <v>OK</v>
      </c>
      <c r="AM43" s="194" t="str">
        <f t="shared" si="40"/>
        <v>OK</v>
      </c>
      <c r="AN43" s="194" t="str">
        <f t="shared" si="40"/>
        <v>OK</v>
      </c>
      <c r="AO43" s="194" t="str">
        <f t="shared" si="40"/>
        <v>OK</v>
      </c>
      <c r="AP43" s="194" t="str">
        <f t="shared" si="40"/>
        <v>OK</v>
      </c>
      <c r="AQ43" s="194" t="str">
        <f t="shared" si="40"/>
        <v>OK</v>
      </c>
      <c r="AR43" s="194" t="str">
        <f t="shared" si="40"/>
        <v>OK</v>
      </c>
      <c r="AS43" s="194" t="str">
        <f t="shared" si="40"/>
        <v>OK</v>
      </c>
      <c r="AT43" s="194" t="str">
        <f t="shared" si="40"/>
        <v>OK</v>
      </c>
      <c r="AU43" s="194" t="str">
        <f t="shared" si="40"/>
        <v>OK</v>
      </c>
      <c r="AV43" s="194" t="str">
        <f t="shared" si="40"/>
        <v>OK</v>
      </c>
      <c r="AW43" s="194" t="str">
        <f t="shared" si="40"/>
        <v>OK</v>
      </c>
      <c r="AX43" s="194" t="str">
        <f t="shared" si="40"/>
        <v>OK</v>
      </c>
      <c r="AY43" s="194" t="str">
        <f t="shared" si="40"/>
        <v>OK</v>
      </c>
      <c r="AZ43" s="194" t="str">
        <f t="shared" si="40"/>
        <v>OK</v>
      </c>
      <c r="BA43" s="194" t="str">
        <f t="shared" si="40"/>
        <v>OK</v>
      </c>
      <c r="BB43" s="194" t="str">
        <f t="shared" si="40"/>
        <v>OK</v>
      </c>
      <c r="BC43" s="194" t="str">
        <f t="shared" si="40"/>
        <v>OK</v>
      </c>
      <c r="BD43" s="194" t="str">
        <f t="shared" si="40"/>
        <v>OK</v>
      </c>
      <c r="BE43" s="6"/>
      <c r="BF43" s="6"/>
      <c r="BH43" s="229">
        <f t="shared" si="35"/>
        <v>1.61756</v>
      </c>
      <c r="BI43" s="227">
        <f t="shared" si="23"/>
        <v>8.25559607916838e-23</v>
      </c>
      <c r="BJ43" s="227"/>
      <c r="BK43" s="223"/>
      <c r="BL43" s="230"/>
      <c r="BM43" s="227">
        <f t="shared" si="34"/>
        <v>1.72125</v>
      </c>
      <c r="BN43" s="227">
        <v>0</v>
      </c>
      <c r="BO43" s="230"/>
      <c r="BP43" s="226"/>
      <c r="BQ43" s="226"/>
      <c r="BR43" s="224"/>
      <c r="BS43" s="235"/>
      <c r="BT43" s="235"/>
      <c r="BU43" s="235"/>
    </row>
    <row r="44" ht="19" customHeight="1" spans="2:73">
      <c r="B44" s="49" t="s">
        <v>118</v>
      </c>
      <c r="C44" s="50">
        <f t="shared" si="36"/>
        <v>0</v>
      </c>
      <c r="D44" s="50" t="str">
        <f t="shared" si="37"/>
        <v>OK</v>
      </c>
      <c r="E44" s="50">
        <f t="shared" si="38"/>
        <v>0</v>
      </c>
      <c r="F44" s="50" t="str">
        <f t="shared" si="39"/>
        <v>OK</v>
      </c>
      <c r="G44" s="51" t="s">
        <v>137</v>
      </c>
      <c r="H44" s="52"/>
      <c r="I44" s="52"/>
      <c r="J44" s="52"/>
      <c r="K44" s="52"/>
      <c r="L44" s="52"/>
      <c r="M44" s="80"/>
      <c r="N44" s="85"/>
      <c r="O44" s="86"/>
      <c r="P44" s="86"/>
      <c r="Q44" s="133"/>
      <c r="R44" s="124"/>
      <c r="S44" s="125"/>
      <c r="T44" s="125"/>
      <c r="U44" s="124"/>
      <c r="V44" s="134" t="s">
        <v>138</v>
      </c>
      <c r="W44" s="131">
        <f>IF(COUNT(C6:AA13)=0,"",(N3-AVERAGE(C6:AA13))/(3*W42))</f>
        <v>1.22996060606059</v>
      </c>
      <c r="X44" s="136" t="s">
        <v>100</v>
      </c>
      <c r="Y44" s="192" t="s">
        <v>139</v>
      </c>
      <c r="Z44" s="155">
        <f>IF(COUNT(C6:AA13)=0,"",(N3-AVERAGE(C6:AA13))/(3*Z42))</f>
        <v>1.16961114275057</v>
      </c>
      <c r="AA44" s="195" t="s">
        <v>140</v>
      </c>
      <c r="AB44" s="185"/>
      <c r="AC44" s="6"/>
      <c r="AD44" s="6"/>
      <c r="AE44" s="190" t="s">
        <v>111</v>
      </c>
      <c r="AF44" s="196"/>
      <c r="AG44" s="196"/>
      <c r="AH44" s="196"/>
      <c r="AI44" s="196"/>
      <c r="AJ44" s="196"/>
      <c r="AK44" s="196"/>
      <c r="AL44" s="196"/>
      <c r="AM44" s="196"/>
      <c r="AN44" s="194" t="str">
        <f>IF(OR(COUNTIF(C15:K15,"&gt;"&amp;$AF$12)=9,COUNTIF(C15:K15,"&lt;"&amp;$AF$12)=9),"NG","OK")</f>
        <v>OK</v>
      </c>
      <c r="AO44" s="194" t="str">
        <f t="shared" ref="AO44:BD44" si="41">IF(OR(COUNTIF(D15:L15,"&gt;"&amp;$AF$12)=9,COUNTIF(D15:L15,"&lt;"&amp;$AF$12)=9),"NG","OK")</f>
        <v>OK</v>
      </c>
      <c r="AP44" s="194" t="str">
        <f t="shared" si="41"/>
        <v>OK</v>
      </c>
      <c r="AQ44" s="194" t="str">
        <f t="shared" si="41"/>
        <v>OK</v>
      </c>
      <c r="AR44" s="194" t="str">
        <f t="shared" si="41"/>
        <v>OK</v>
      </c>
      <c r="AS44" s="194" t="str">
        <f t="shared" si="41"/>
        <v>OK</v>
      </c>
      <c r="AT44" s="194" t="str">
        <f t="shared" si="41"/>
        <v>OK</v>
      </c>
      <c r="AU44" s="194" t="str">
        <f t="shared" si="41"/>
        <v>OK</v>
      </c>
      <c r="AV44" s="194" t="str">
        <f t="shared" si="41"/>
        <v>OK</v>
      </c>
      <c r="AW44" s="194" t="str">
        <f t="shared" si="41"/>
        <v>OK</v>
      </c>
      <c r="AX44" s="194" t="str">
        <f t="shared" si="41"/>
        <v>OK</v>
      </c>
      <c r="AY44" s="194" t="str">
        <f t="shared" si="41"/>
        <v>OK</v>
      </c>
      <c r="AZ44" s="194" t="str">
        <f t="shared" si="41"/>
        <v>OK</v>
      </c>
      <c r="BA44" s="194" t="str">
        <f t="shared" si="41"/>
        <v>OK</v>
      </c>
      <c r="BB44" s="194" t="str">
        <f t="shared" si="41"/>
        <v>OK</v>
      </c>
      <c r="BC44" s="194" t="str">
        <f t="shared" si="41"/>
        <v>OK</v>
      </c>
      <c r="BD44" s="194" t="str">
        <f t="shared" si="41"/>
        <v>OK</v>
      </c>
      <c r="BE44" s="6"/>
      <c r="BF44" s="6"/>
      <c r="BH44" s="229">
        <f t="shared" si="35"/>
        <v>1.6182</v>
      </c>
      <c r="BI44" s="227">
        <f t="shared" si="23"/>
        <v>2.70754567926877e-22</v>
      </c>
      <c r="BJ44" s="227"/>
      <c r="BK44" s="223"/>
      <c r="BL44" s="230"/>
      <c r="BM44" s="227">
        <f t="shared" si="34"/>
        <v>1.72375</v>
      </c>
      <c r="BN44" s="227">
        <v>0</v>
      </c>
      <c r="BO44" s="230"/>
      <c r="BP44" s="237"/>
      <c r="BQ44" s="226"/>
      <c r="BR44" s="224"/>
      <c r="BS44" s="235"/>
      <c r="BT44" s="235"/>
      <c r="BU44" s="235"/>
    </row>
    <row r="45" ht="19" customHeight="1" spans="2:73">
      <c r="B45" s="49" t="s">
        <v>141</v>
      </c>
      <c r="C45" s="50">
        <f t="shared" si="36"/>
        <v>0</v>
      </c>
      <c r="D45" s="50" t="str">
        <f t="shared" si="37"/>
        <v>OK</v>
      </c>
      <c r="E45" s="50">
        <f t="shared" si="38"/>
        <v>0</v>
      </c>
      <c r="F45" s="50" t="str">
        <f t="shared" si="39"/>
        <v>OK</v>
      </c>
      <c r="G45" s="51" t="s">
        <v>142</v>
      </c>
      <c r="H45" s="52"/>
      <c r="I45" s="52"/>
      <c r="J45" s="52"/>
      <c r="K45" s="52"/>
      <c r="L45" s="52"/>
      <c r="M45" s="80"/>
      <c r="N45" s="85"/>
      <c r="O45" s="86"/>
      <c r="P45" s="86"/>
      <c r="Q45" s="133"/>
      <c r="R45" s="124"/>
      <c r="S45" s="125"/>
      <c r="T45" s="125"/>
      <c r="U45" s="124"/>
      <c r="V45" s="134" t="s">
        <v>143</v>
      </c>
      <c r="W45" s="131">
        <f>IF(COUNT(C6:AA13)=0,"",(AVERAGE(C6:AA13)-N4)/(3*W42))</f>
        <v>3.80467142857144</v>
      </c>
      <c r="X45" s="137" t="str">
        <f>_xlfn.IFS(W46&gt;=1.33,"A",W46&gt;=1,"B",W46&gt;=0.67,"C",W46&lt;0.67,"D")</f>
        <v>B</v>
      </c>
      <c r="Y45" s="192" t="s">
        <v>144</v>
      </c>
      <c r="Z45" s="155">
        <f>IF(COUNT(C6:AA13)=0,"",(AVERAGE(C6:AA13)-N4)/(3*Z42))</f>
        <v>3.6179907514393</v>
      </c>
      <c r="AA45" s="197" t="str">
        <f>_xlfn.IFS(Z46&gt;=1.33,"A",Z46&gt;=1,"B",Z46&gt;=0.67,"C",Z46&lt;0.67,"D")</f>
        <v>B</v>
      </c>
      <c r="AB45" s="185"/>
      <c r="AC45" s="6"/>
      <c r="AD45" s="6"/>
      <c r="AE45" s="190" t="s">
        <v>114</v>
      </c>
      <c r="AF45" s="196"/>
      <c r="AG45" s="196"/>
      <c r="AH45" s="196"/>
      <c r="AI45" s="196"/>
      <c r="AJ45" s="196"/>
      <c r="AK45" s="194" t="str">
        <f>IF(OR(AND(C15&gt;D15,D15&gt;E15,E15&gt;F15,F15&gt;G15,G15&gt;H15),AND(C15&lt;D15,D15&lt;E15,E15&lt;F15,F15&lt;G15,G15&lt;H15)),"NG","OK")</f>
        <v>OK</v>
      </c>
      <c r="AL45" s="194" t="str">
        <f t="shared" ref="AL45:BD45" si="42">IF(OR(AND(D15&gt;E15,E15&gt;F15,F15&gt;G15,G15&gt;H15,H15&gt;I15),AND(D15&lt;E15,E15&lt;F15,F15&lt;G15,G15&lt;H15,H15&lt;I15)),"NG","OK")</f>
        <v>OK</v>
      </c>
      <c r="AM45" s="194" t="str">
        <f t="shared" si="42"/>
        <v>OK</v>
      </c>
      <c r="AN45" s="194" t="str">
        <f t="shared" si="42"/>
        <v>OK</v>
      </c>
      <c r="AO45" s="194" t="str">
        <f t="shared" si="42"/>
        <v>OK</v>
      </c>
      <c r="AP45" s="194" t="str">
        <f t="shared" si="42"/>
        <v>OK</v>
      </c>
      <c r="AQ45" s="194" t="str">
        <f t="shared" si="42"/>
        <v>OK</v>
      </c>
      <c r="AR45" s="194" t="str">
        <f t="shared" si="42"/>
        <v>OK</v>
      </c>
      <c r="AS45" s="194" t="str">
        <f t="shared" si="42"/>
        <v>OK</v>
      </c>
      <c r="AT45" s="194" t="str">
        <f t="shared" si="42"/>
        <v>OK</v>
      </c>
      <c r="AU45" s="194" t="str">
        <f t="shared" si="42"/>
        <v>OK</v>
      </c>
      <c r="AV45" s="194" t="str">
        <f t="shared" si="42"/>
        <v>OK</v>
      </c>
      <c r="AW45" s="194" t="str">
        <f t="shared" si="42"/>
        <v>OK</v>
      </c>
      <c r="AX45" s="194" t="str">
        <f t="shared" si="42"/>
        <v>OK</v>
      </c>
      <c r="AY45" s="194" t="str">
        <f t="shared" si="42"/>
        <v>OK</v>
      </c>
      <c r="AZ45" s="194" t="str">
        <f t="shared" si="42"/>
        <v>OK</v>
      </c>
      <c r="BA45" s="194" t="str">
        <f t="shared" si="42"/>
        <v>OK</v>
      </c>
      <c r="BB45" s="194" t="str">
        <f t="shared" si="42"/>
        <v>OK</v>
      </c>
      <c r="BC45" s="194" t="str">
        <f t="shared" si="42"/>
        <v>OK</v>
      </c>
      <c r="BD45" s="194" t="str">
        <f t="shared" si="42"/>
        <v>OK</v>
      </c>
      <c r="BE45" s="6"/>
      <c r="BF45" s="6"/>
      <c r="BH45" s="229">
        <f t="shared" si="35"/>
        <v>1.61884</v>
      </c>
      <c r="BI45" s="227">
        <f t="shared" si="23"/>
        <v>8.76333359791051e-22</v>
      </c>
      <c r="BJ45" s="227"/>
      <c r="BK45" s="223"/>
      <c r="BL45" s="230"/>
      <c r="BM45" s="227">
        <f t="shared" si="34"/>
        <v>1.72625</v>
      </c>
      <c r="BN45" s="227">
        <v>0</v>
      </c>
      <c r="BO45" s="230"/>
      <c r="BP45" s="226"/>
      <c r="BQ45" s="226"/>
      <c r="BR45" s="226"/>
      <c r="BS45" s="235"/>
      <c r="BT45" s="235"/>
      <c r="BU45" s="235"/>
    </row>
    <row r="46" ht="19" customHeight="1" spans="2:73">
      <c r="B46" s="49" t="s">
        <v>145</v>
      </c>
      <c r="C46" s="50">
        <f t="shared" si="36"/>
        <v>0</v>
      </c>
      <c r="D46" s="50" t="str">
        <f t="shared" si="37"/>
        <v>OK</v>
      </c>
      <c r="E46" s="50">
        <f t="shared" si="38"/>
        <v>0</v>
      </c>
      <c r="F46" s="50" t="str">
        <f t="shared" si="39"/>
        <v>OK</v>
      </c>
      <c r="G46" s="51" t="s">
        <v>146</v>
      </c>
      <c r="H46" s="52"/>
      <c r="I46" s="52"/>
      <c r="J46" s="52"/>
      <c r="K46" s="52"/>
      <c r="L46" s="52"/>
      <c r="M46" s="80"/>
      <c r="N46" s="85"/>
      <c r="O46" s="86"/>
      <c r="P46" s="86"/>
      <c r="Q46" s="133"/>
      <c r="R46" s="124"/>
      <c r="S46" s="125"/>
      <c r="T46" s="125"/>
      <c r="U46" s="124"/>
      <c r="V46" s="134" t="s">
        <v>147</v>
      </c>
      <c r="W46" s="131">
        <f>IF(COUNT(C6:AA13)=0,"",MIN(W44,W45))</f>
        <v>1.22996060606059</v>
      </c>
      <c r="X46" s="137"/>
      <c r="Y46" s="192" t="s">
        <v>148</v>
      </c>
      <c r="Z46" s="155">
        <f>IF(COUNT(C6:AA13)=0,"",MIN(Z44,Z45))</f>
        <v>1.16961114275057</v>
      </c>
      <c r="AA46" s="197"/>
      <c r="AB46" s="6"/>
      <c r="AC46" s="6"/>
      <c r="AD46" s="6"/>
      <c r="AE46" s="190" t="s">
        <v>118</v>
      </c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4" t="str">
        <f>IF(OR(AND(C15&gt;D15,D15&lt;E15,E15&gt;F15,F15&lt;G15,G15&gt;H15,H15&lt;I15,I15&gt;J15,J15&lt;K15,K15&gt;L15,L15&lt;M15,M15&gt;N15,N15&lt;O15,O15&gt;P15),AND(C15&lt;D15,D15&gt;E15,E15&lt;F15,F15&gt;G15,G15&lt;H15,H15&gt;I15,I15&lt;J15,J15&gt;K15,K15&lt;L15,L15&gt;M15,M15&lt;N15,N15&gt;O15,O15&lt;P15)),"NG","OK")</f>
        <v>OK</v>
      </c>
      <c r="AT46" s="194" t="str">
        <f t="shared" ref="AT46:BD46" si="43">IF(OR(AND(D15&gt;E15,E15&lt;F15,F15&gt;G15,G15&lt;H15,H15&gt;I15,I15&lt;J15,J15&gt;K15,K15&lt;L15,L15&gt;M15,M15&lt;N15,N15&gt;O15,O15&lt;P15,P15&gt;Q15),AND(D15&lt;E15,E15&gt;F15,F15&lt;G15,G15&gt;H15,H15&lt;I15,I15&gt;J15,J15&lt;K15,K15&gt;L15,L15&lt;M15,M15&gt;N15,N15&lt;O15,O15&gt;P15,P15&lt;Q15)),"NG","OK")</f>
        <v>OK</v>
      </c>
      <c r="AU46" s="194" t="str">
        <f t="shared" si="43"/>
        <v>OK</v>
      </c>
      <c r="AV46" s="194" t="str">
        <f t="shared" si="43"/>
        <v>OK</v>
      </c>
      <c r="AW46" s="194" t="str">
        <f t="shared" si="43"/>
        <v>OK</v>
      </c>
      <c r="AX46" s="194" t="str">
        <f t="shared" si="43"/>
        <v>OK</v>
      </c>
      <c r="AY46" s="194" t="str">
        <f t="shared" si="43"/>
        <v>OK</v>
      </c>
      <c r="AZ46" s="194" t="str">
        <f t="shared" si="43"/>
        <v>OK</v>
      </c>
      <c r="BA46" s="194" t="str">
        <f t="shared" si="43"/>
        <v>OK</v>
      </c>
      <c r="BB46" s="194" t="str">
        <f t="shared" si="43"/>
        <v>OK</v>
      </c>
      <c r="BC46" s="194" t="str">
        <f t="shared" si="43"/>
        <v>OK</v>
      </c>
      <c r="BD46" s="194" t="str">
        <f t="shared" si="43"/>
        <v>OK</v>
      </c>
      <c r="BE46" s="6"/>
      <c r="BF46" s="6"/>
      <c r="BH46" s="229">
        <f t="shared" si="35"/>
        <v>1.61948</v>
      </c>
      <c r="BI46" s="227">
        <f t="shared" si="23"/>
        <v>2.79916882368746e-21</v>
      </c>
      <c r="BJ46" s="227"/>
      <c r="BK46" s="223"/>
      <c r="BL46" s="230"/>
      <c r="BM46" s="227">
        <f t="shared" si="34"/>
        <v>1.72875</v>
      </c>
      <c r="BN46" s="227">
        <v>0</v>
      </c>
      <c r="BO46" s="230"/>
      <c r="BP46" s="226"/>
      <c r="BQ46" s="226"/>
      <c r="BR46" s="226"/>
      <c r="BS46" s="235"/>
      <c r="BT46" s="235"/>
      <c r="BU46" s="235"/>
    </row>
    <row r="47" ht="19" customHeight="1" spans="2:73">
      <c r="B47" s="49" t="s">
        <v>149</v>
      </c>
      <c r="C47" s="50">
        <f t="shared" si="36"/>
        <v>0</v>
      </c>
      <c r="D47" s="50" t="str">
        <f t="shared" si="37"/>
        <v>OK</v>
      </c>
      <c r="E47" s="50">
        <f t="shared" si="38"/>
        <v>0</v>
      </c>
      <c r="F47" s="50" t="str">
        <f t="shared" si="39"/>
        <v>OK</v>
      </c>
      <c r="G47" s="51" t="s">
        <v>150</v>
      </c>
      <c r="H47" s="52"/>
      <c r="I47" s="52"/>
      <c r="J47" s="52"/>
      <c r="K47" s="52"/>
      <c r="L47" s="52"/>
      <c r="M47" s="80"/>
      <c r="N47" s="85"/>
      <c r="O47" s="86"/>
      <c r="P47" s="86"/>
      <c r="Q47" s="133"/>
      <c r="R47" s="124"/>
      <c r="S47" s="125"/>
      <c r="T47" s="125"/>
      <c r="U47" s="124"/>
      <c r="V47" s="138" t="s">
        <v>123</v>
      </c>
      <c r="W47" s="139" t="str">
        <f>LOOKUP(X45,AL31:AL34,AM31:AM34)</f>
        <v>表示尚佳，要设法维持</v>
      </c>
      <c r="X47" s="139"/>
      <c r="Y47" s="139"/>
      <c r="Z47" s="198" t="s">
        <v>151</v>
      </c>
      <c r="AA47" s="199">
        <f>IF(COUNT(C6:AA13)=0,"",(1-NORMSDIST(STANDARDIZE(N3,BN15,Z42))+NORMSDIST(STANDARDIZE(N4,BN15,Z42)))*1000000)</f>
        <v>225.038344534911</v>
      </c>
      <c r="AB47" s="200"/>
      <c r="AC47" s="6"/>
      <c r="AD47" s="6"/>
      <c r="AE47" s="190" t="s">
        <v>141</v>
      </c>
      <c r="AF47" s="196"/>
      <c r="AG47" s="196"/>
      <c r="AH47" s="194" t="str">
        <f>IF(OR(COUNTIF(C15:E15,"&gt;"&amp;$AF$10)=2,COUNTIF(C15:E15,"&lt;"&amp;$AF$14)=2),"NG","OK")</f>
        <v>OK</v>
      </c>
      <c r="AI47" s="194" t="str">
        <f t="shared" ref="AI47:BD47" si="44">IF(OR(COUNTIF(D15:F15,"&gt;"&amp;$AF$10)=2,COUNTIF(D15:F15,"&lt;"&amp;$AF$14)=2),"NG","OK")</f>
        <v>OK</v>
      </c>
      <c r="AJ47" s="194" t="str">
        <f t="shared" si="44"/>
        <v>OK</v>
      </c>
      <c r="AK47" s="194" t="str">
        <f t="shared" si="44"/>
        <v>OK</v>
      </c>
      <c r="AL47" s="194" t="str">
        <f t="shared" si="44"/>
        <v>OK</v>
      </c>
      <c r="AM47" s="194" t="str">
        <f t="shared" si="44"/>
        <v>OK</v>
      </c>
      <c r="AN47" s="194" t="str">
        <f t="shared" si="44"/>
        <v>OK</v>
      </c>
      <c r="AO47" s="194" t="str">
        <f t="shared" si="44"/>
        <v>OK</v>
      </c>
      <c r="AP47" s="194" t="str">
        <f t="shared" si="44"/>
        <v>OK</v>
      </c>
      <c r="AQ47" s="194" t="str">
        <f t="shared" si="44"/>
        <v>OK</v>
      </c>
      <c r="AR47" s="194" t="str">
        <f t="shared" si="44"/>
        <v>OK</v>
      </c>
      <c r="AS47" s="194" t="str">
        <f t="shared" si="44"/>
        <v>OK</v>
      </c>
      <c r="AT47" s="194" t="str">
        <f t="shared" si="44"/>
        <v>OK</v>
      </c>
      <c r="AU47" s="194" t="str">
        <f t="shared" si="44"/>
        <v>OK</v>
      </c>
      <c r="AV47" s="194" t="str">
        <f t="shared" si="44"/>
        <v>OK</v>
      </c>
      <c r="AW47" s="194" t="str">
        <f t="shared" si="44"/>
        <v>OK</v>
      </c>
      <c r="AX47" s="194" t="str">
        <f t="shared" si="44"/>
        <v>OK</v>
      </c>
      <c r="AY47" s="194" t="str">
        <f t="shared" si="44"/>
        <v>OK</v>
      </c>
      <c r="AZ47" s="194" t="str">
        <f t="shared" si="44"/>
        <v>OK</v>
      </c>
      <c r="BA47" s="194" t="str">
        <f t="shared" si="44"/>
        <v>OK</v>
      </c>
      <c r="BB47" s="194" t="str">
        <f t="shared" si="44"/>
        <v>OK</v>
      </c>
      <c r="BC47" s="194" t="str">
        <f t="shared" si="44"/>
        <v>OK</v>
      </c>
      <c r="BD47" s="194" t="str">
        <f t="shared" si="44"/>
        <v>OK</v>
      </c>
      <c r="BE47" s="6"/>
      <c r="BF47" s="6"/>
      <c r="BH47" s="229">
        <f t="shared" si="35"/>
        <v>1.62012</v>
      </c>
      <c r="BI47" s="227">
        <f t="shared" si="23"/>
        <v>8.82378741179346e-21</v>
      </c>
      <c r="BJ47" s="227"/>
      <c r="BK47" s="223"/>
      <c r="BL47" s="230"/>
      <c r="BM47" s="227">
        <f t="shared" si="34"/>
        <v>1.73125</v>
      </c>
      <c r="BN47" s="227">
        <v>0</v>
      </c>
      <c r="BO47" s="230"/>
      <c r="BP47" s="226"/>
      <c r="BQ47" s="226"/>
      <c r="BR47" s="226"/>
      <c r="BS47" s="235"/>
      <c r="BT47" s="235"/>
      <c r="BU47" s="235"/>
    </row>
    <row r="48" ht="19" customHeight="1" spans="2:73">
      <c r="B48" s="53" t="s">
        <v>152</v>
      </c>
      <c r="C48" s="54">
        <f t="shared" si="36"/>
        <v>0</v>
      </c>
      <c r="D48" s="54" t="str">
        <f t="shared" si="37"/>
        <v>OK</v>
      </c>
      <c r="E48" s="54">
        <f t="shared" si="38"/>
        <v>0</v>
      </c>
      <c r="F48" s="54" t="str">
        <f t="shared" si="39"/>
        <v>OK</v>
      </c>
      <c r="G48" s="55" t="s">
        <v>153</v>
      </c>
      <c r="H48" s="56"/>
      <c r="I48" s="56"/>
      <c r="J48" s="56"/>
      <c r="K48" s="56"/>
      <c r="L48" s="56"/>
      <c r="M48" s="87"/>
      <c r="N48" s="88" t="s">
        <v>154</v>
      </c>
      <c r="O48" s="89" t="s">
        <v>155</v>
      </c>
      <c r="P48" s="89"/>
      <c r="Q48" s="140" t="s">
        <v>156</v>
      </c>
      <c r="R48" s="141"/>
      <c r="S48" s="141"/>
      <c r="T48" s="141"/>
      <c r="U48" s="141"/>
      <c r="V48" s="142"/>
      <c r="W48" s="143"/>
      <c r="X48" s="143"/>
      <c r="Y48" s="143"/>
      <c r="Z48" s="201"/>
      <c r="AA48" s="202"/>
      <c r="AB48" s="6"/>
      <c r="AC48" s="6"/>
      <c r="AD48" s="6"/>
      <c r="AE48" s="190" t="s">
        <v>145</v>
      </c>
      <c r="AF48" s="196"/>
      <c r="AG48" s="196"/>
      <c r="AH48" s="196"/>
      <c r="AI48" s="196"/>
      <c r="AJ48" s="194" t="str">
        <f>IF(OR(COUNTIF(C15:G15,"&gt;"&amp;$AF$11)=4,COUNTIF(C15:G15,"&lt;"&amp;$AF$13)=4),"NG","OK")</f>
        <v>OK</v>
      </c>
      <c r="AK48" s="194" t="str">
        <f t="shared" ref="AK48:BD48" si="45">IF(OR(COUNTIF(D15:H15,"&gt;"&amp;$AF$11)=4,COUNTIF(D15:H15,"&lt;"&amp;$AF$13)=4),"NG","OK")</f>
        <v>OK</v>
      </c>
      <c r="AL48" s="194" t="str">
        <f t="shared" si="45"/>
        <v>OK</v>
      </c>
      <c r="AM48" s="194" t="str">
        <f t="shared" si="45"/>
        <v>OK</v>
      </c>
      <c r="AN48" s="194" t="str">
        <f t="shared" si="45"/>
        <v>OK</v>
      </c>
      <c r="AO48" s="194" t="str">
        <f t="shared" si="45"/>
        <v>OK</v>
      </c>
      <c r="AP48" s="194" t="str">
        <f t="shared" si="45"/>
        <v>OK</v>
      </c>
      <c r="AQ48" s="194" t="str">
        <f t="shared" si="45"/>
        <v>OK</v>
      </c>
      <c r="AR48" s="194" t="str">
        <f t="shared" si="45"/>
        <v>OK</v>
      </c>
      <c r="AS48" s="194" t="str">
        <f t="shared" si="45"/>
        <v>OK</v>
      </c>
      <c r="AT48" s="194" t="str">
        <f t="shared" si="45"/>
        <v>OK</v>
      </c>
      <c r="AU48" s="194" t="str">
        <f t="shared" si="45"/>
        <v>OK</v>
      </c>
      <c r="AV48" s="194" t="str">
        <f t="shared" si="45"/>
        <v>OK</v>
      </c>
      <c r="AW48" s="194" t="str">
        <f t="shared" si="45"/>
        <v>OK</v>
      </c>
      <c r="AX48" s="194" t="str">
        <f t="shared" si="45"/>
        <v>OK</v>
      </c>
      <c r="AY48" s="194" t="str">
        <f t="shared" si="45"/>
        <v>OK</v>
      </c>
      <c r="AZ48" s="194" t="str">
        <f t="shared" si="45"/>
        <v>OK</v>
      </c>
      <c r="BA48" s="194" t="str">
        <f t="shared" si="45"/>
        <v>OK</v>
      </c>
      <c r="BB48" s="194" t="str">
        <f t="shared" si="45"/>
        <v>OK</v>
      </c>
      <c r="BC48" s="194" t="str">
        <f t="shared" si="45"/>
        <v>OK</v>
      </c>
      <c r="BD48" s="194" t="str">
        <f t="shared" si="45"/>
        <v>OK</v>
      </c>
      <c r="BE48" s="6"/>
      <c r="BF48" s="6"/>
      <c r="BH48" s="229">
        <f t="shared" si="35"/>
        <v>1.62076</v>
      </c>
      <c r="BI48" s="227">
        <f t="shared" si="23"/>
        <v>2.74503051049723e-20</v>
      </c>
      <c r="BJ48" s="227"/>
      <c r="BK48" s="223"/>
      <c r="BL48" s="230"/>
      <c r="BM48" s="227">
        <f t="shared" si="34"/>
        <v>1.73375</v>
      </c>
      <c r="BN48" s="227">
        <v>0</v>
      </c>
      <c r="BO48" s="230"/>
      <c r="BP48" s="226"/>
      <c r="BQ48" s="226"/>
      <c r="BR48" s="226"/>
      <c r="BS48" s="235"/>
      <c r="BT48" s="235"/>
      <c r="BU48" s="235"/>
    </row>
    <row r="49" ht="19" customHeight="1" spans="2:73">
      <c r="B49" s="57"/>
      <c r="C49" s="57"/>
      <c r="D49" s="57"/>
      <c r="E49" s="57"/>
      <c r="F49" s="58"/>
      <c r="G49" s="58"/>
      <c r="H49" s="57"/>
      <c r="I49" s="57"/>
      <c r="J49" s="57"/>
      <c r="K49" s="57"/>
      <c r="L49" s="57"/>
      <c r="M49" s="57"/>
      <c r="N49" s="6"/>
      <c r="O49" s="6"/>
      <c r="P49" s="6"/>
      <c r="Q49" s="6"/>
      <c r="R49" s="6"/>
      <c r="S49" s="6"/>
      <c r="T49" s="6"/>
      <c r="U49" s="6"/>
      <c r="V49" s="6"/>
      <c r="W49" s="144"/>
      <c r="X49" s="145"/>
      <c r="Y49" s="145"/>
      <c r="Z49" s="145"/>
      <c r="AA49" s="6"/>
      <c r="AB49" s="6"/>
      <c r="AC49" s="6"/>
      <c r="AD49" s="6"/>
      <c r="AE49" s="190" t="s">
        <v>149</v>
      </c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6"/>
      <c r="AR49" s="196"/>
      <c r="AS49" s="196"/>
      <c r="AT49" s="194" t="str">
        <f>IF((COUNTIFS(C15:Q15,"&lt;="&amp;$AF$11,C15:Q15,"&gt;="&amp;$AF$13))=15,"NG","OK")</f>
        <v>OK</v>
      </c>
      <c r="AU49" s="194" t="str">
        <f t="shared" ref="AU49:BD49" si="46">IF((COUNTIFS(D15:R15,"&lt;="&amp;$AF$11,D15:R15,"&gt;="&amp;$AF$13))=15,"NG","OK")</f>
        <v>OK</v>
      </c>
      <c r="AV49" s="194" t="str">
        <f t="shared" si="46"/>
        <v>OK</v>
      </c>
      <c r="AW49" s="194" t="str">
        <f t="shared" si="46"/>
        <v>OK</v>
      </c>
      <c r="AX49" s="194" t="str">
        <f t="shared" si="46"/>
        <v>OK</v>
      </c>
      <c r="AY49" s="194" t="str">
        <f t="shared" si="46"/>
        <v>OK</v>
      </c>
      <c r="AZ49" s="194" t="str">
        <f t="shared" si="46"/>
        <v>OK</v>
      </c>
      <c r="BA49" s="194" t="str">
        <f t="shared" si="46"/>
        <v>OK</v>
      </c>
      <c r="BB49" s="194" t="str">
        <f t="shared" si="46"/>
        <v>OK</v>
      </c>
      <c r="BC49" s="194" t="str">
        <f t="shared" si="46"/>
        <v>OK</v>
      </c>
      <c r="BD49" s="194" t="str">
        <f t="shared" si="46"/>
        <v>OK</v>
      </c>
      <c r="BE49" s="6"/>
      <c r="BF49" s="6"/>
      <c r="BH49" s="229">
        <f t="shared" si="35"/>
        <v>1.6214</v>
      </c>
      <c r="BI49" s="227">
        <f t="shared" si="23"/>
        <v>8.42763098922262e-20</v>
      </c>
      <c r="BJ49" s="227"/>
      <c r="BK49" s="223"/>
      <c r="BL49" s="230"/>
      <c r="BM49" s="227">
        <f t="shared" si="34"/>
        <v>1.73625</v>
      </c>
      <c r="BN49" s="227">
        <v>0</v>
      </c>
      <c r="BO49" s="230"/>
      <c r="BP49" s="226"/>
      <c r="BQ49" s="226"/>
      <c r="BR49" s="226"/>
      <c r="BS49" s="235"/>
      <c r="BT49" s="235"/>
      <c r="BU49" s="235"/>
    </row>
    <row r="50" ht="19" customHeight="1" spans="2:73">
      <c r="B50" s="6"/>
      <c r="C50" s="6"/>
      <c r="D50" s="6"/>
      <c r="E50" s="5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146"/>
      <c r="R50" s="6"/>
      <c r="S50" s="6"/>
      <c r="T50" s="6"/>
      <c r="U50" s="6"/>
      <c r="V50" s="6"/>
      <c r="W50" s="145"/>
      <c r="X50" s="145"/>
      <c r="Y50" s="145"/>
      <c r="Z50" s="145"/>
      <c r="AA50" s="6"/>
      <c r="AB50" s="6"/>
      <c r="AC50" s="6"/>
      <c r="AD50" s="6"/>
      <c r="AE50" s="190" t="s">
        <v>152</v>
      </c>
      <c r="AF50" s="196"/>
      <c r="AG50" s="196"/>
      <c r="AH50" s="196"/>
      <c r="AI50" s="196"/>
      <c r="AJ50" s="196"/>
      <c r="AK50" s="196"/>
      <c r="AL50" s="196"/>
      <c r="AM50" s="194" t="str">
        <f>IF((COUNTIF(C15:J15,"&gt;"&amp;$AF$11)+COUNTIF(C15:J15,"&lt;"&amp;$AF$13))=8,"NG","OK")</f>
        <v>OK</v>
      </c>
      <c r="AN50" s="194" t="str">
        <f t="shared" ref="AN50:BD50" si="47">IF((COUNTIF(D15:K15,"&gt;"&amp;$AF$11)+COUNTIF(D15:K15,"&lt;"&amp;$AF$13))=8,"NG","OK")</f>
        <v>OK</v>
      </c>
      <c r="AO50" s="194" t="str">
        <f t="shared" si="47"/>
        <v>OK</v>
      </c>
      <c r="AP50" s="194" t="str">
        <f t="shared" si="47"/>
        <v>OK</v>
      </c>
      <c r="AQ50" s="194" t="str">
        <f t="shared" si="47"/>
        <v>OK</v>
      </c>
      <c r="AR50" s="194" t="str">
        <f t="shared" si="47"/>
        <v>OK</v>
      </c>
      <c r="AS50" s="194" t="str">
        <f t="shared" si="47"/>
        <v>OK</v>
      </c>
      <c r="AT50" s="194" t="str">
        <f t="shared" si="47"/>
        <v>OK</v>
      </c>
      <c r="AU50" s="194" t="str">
        <f t="shared" si="47"/>
        <v>OK</v>
      </c>
      <c r="AV50" s="194" t="str">
        <f t="shared" si="47"/>
        <v>OK</v>
      </c>
      <c r="AW50" s="194" t="str">
        <f t="shared" si="47"/>
        <v>OK</v>
      </c>
      <c r="AX50" s="194" t="str">
        <f t="shared" si="47"/>
        <v>OK</v>
      </c>
      <c r="AY50" s="194" t="str">
        <f t="shared" si="47"/>
        <v>OK</v>
      </c>
      <c r="AZ50" s="194" t="str">
        <f t="shared" si="47"/>
        <v>OK</v>
      </c>
      <c r="BA50" s="194" t="str">
        <f t="shared" si="47"/>
        <v>OK</v>
      </c>
      <c r="BB50" s="194" t="str">
        <f t="shared" si="47"/>
        <v>OK</v>
      </c>
      <c r="BC50" s="194" t="str">
        <f t="shared" si="47"/>
        <v>OK</v>
      </c>
      <c r="BD50" s="194" t="str">
        <f t="shared" si="47"/>
        <v>OK</v>
      </c>
      <c r="BE50" s="6"/>
      <c r="BF50" s="6"/>
      <c r="BH50" s="229">
        <f t="shared" si="35"/>
        <v>1.62204</v>
      </c>
      <c r="BI50" s="227">
        <f t="shared" si="23"/>
        <v>2.55346578395041e-19</v>
      </c>
      <c r="BJ50" s="227"/>
      <c r="BK50" s="223"/>
      <c r="BL50" s="230"/>
      <c r="BM50" s="227">
        <f t="shared" si="34"/>
        <v>1.73875</v>
      </c>
      <c r="BN50" s="227">
        <v>0</v>
      </c>
      <c r="BO50" s="230"/>
      <c r="BP50" s="238"/>
      <c r="BQ50" s="226"/>
      <c r="BR50" s="226"/>
      <c r="BS50" s="235"/>
      <c r="BT50" s="235"/>
      <c r="BU50" s="235"/>
    </row>
    <row r="51" ht="19" customHeight="1" spans="2:7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5"/>
      <c r="X51" s="145"/>
      <c r="Y51" s="145"/>
      <c r="Z51" s="145"/>
      <c r="AA51" s="6"/>
      <c r="AB51" s="6"/>
      <c r="AC51" s="6"/>
      <c r="AD51" s="6"/>
      <c r="AE51" s="179"/>
      <c r="AF51" s="180"/>
      <c r="AG51" s="200"/>
      <c r="AH51" s="6"/>
      <c r="AI51" s="6"/>
      <c r="AJ51" s="6"/>
      <c r="AK51" s="6"/>
      <c r="AL51" s="6"/>
      <c r="AM51" s="215"/>
      <c r="AN51" s="215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H51" s="229">
        <f t="shared" si="35"/>
        <v>1.62268</v>
      </c>
      <c r="BI51" s="227">
        <f t="shared" si="23"/>
        <v>7.63520619338784e-19</v>
      </c>
      <c r="BJ51" s="227"/>
      <c r="BK51" s="223"/>
      <c r="BL51" s="230"/>
      <c r="BM51" s="227">
        <f t="shared" si="34"/>
        <v>1.74125</v>
      </c>
      <c r="BN51" s="227">
        <v>0</v>
      </c>
      <c r="BO51" s="230"/>
      <c r="BP51" s="226"/>
      <c r="BQ51" s="226"/>
      <c r="BR51" s="226"/>
      <c r="BS51" s="235"/>
      <c r="BT51" s="235"/>
      <c r="BU51" s="235"/>
    </row>
    <row r="52" ht="19" customHeight="1" spans="2:7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5"/>
      <c r="X52" s="145"/>
      <c r="Y52" s="145"/>
      <c r="Z52" s="145"/>
      <c r="AA52" s="6"/>
      <c r="AB52" s="189"/>
      <c r="AC52" s="6"/>
      <c r="AD52" s="6"/>
      <c r="AE52" s="179"/>
      <c r="AF52" s="200"/>
      <c r="AG52" s="200"/>
      <c r="AH52" s="6"/>
      <c r="AI52" s="6"/>
      <c r="AJ52" s="6"/>
      <c r="AK52" s="6"/>
      <c r="AL52" s="6"/>
      <c r="AM52" s="215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H52" s="229">
        <f t="shared" si="35"/>
        <v>1.62332</v>
      </c>
      <c r="BI52" s="227">
        <f t="shared" si="23"/>
        <v>2.25308560553588e-18</v>
      </c>
      <c r="BJ52" s="227"/>
      <c r="BK52" s="223"/>
      <c r="BL52" s="230"/>
      <c r="BM52" s="227">
        <f t="shared" si="34"/>
        <v>1.74375</v>
      </c>
      <c r="BN52" s="227">
        <v>0</v>
      </c>
      <c r="BO52" s="230"/>
      <c r="BP52" s="226"/>
      <c r="BQ52" s="226"/>
      <c r="BR52" s="226"/>
      <c r="BS52" s="235"/>
      <c r="BT52" s="235"/>
      <c r="BU52" s="235"/>
    </row>
    <row r="53" ht="19" customHeight="1" spans="2:73">
      <c r="B53" s="59"/>
      <c r="C53" s="60"/>
      <c r="D53" s="60"/>
      <c r="E53" s="61"/>
      <c r="F53" s="61"/>
      <c r="G53" s="62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147"/>
      <c r="V53" s="6"/>
      <c r="W53" s="145"/>
      <c r="X53" s="145"/>
      <c r="Y53" s="145"/>
      <c r="Z53" s="145"/>
      <c r="AA53" s="6"/>
      <c r="AB53" s="189"/>
      <c r="AC53" s="6"/>
      <c r="AD53" s="6"/>
      <c r="AE53" s="186" t="s">
        <v>157</v>
      </c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6"/>
      <c r="BF53" s="6"/>
      <c r="BH53" s="229">
        <f t="shared" si="35"/>
        <v>1.62396</v>
      </c>
      <c r="BI53" s="227">
        <f t="shared" ref="BI53:BI84" si="48">NORMDIST(BH53,AVERAGE($C$6:$AA$10),STDEV($C$6:$AA$10),0)/3</f>
        <v>6.56146492865534e-18</v>
      </c>
      <c r="BJ53" s="227"/>
      <c r="BK53" s="223"/>
      <c r="BL53" s="226"/>
      <c r="BM53" s="230"/>
      <c r="BN53" s="239"/>
      <c r="BO53" s="230"/>
      <c r="BP53" s="226"/>
      <c r="BQ53" s="226"/>
      <c r="BR53" s="226"/>
      <c r="BS53" s="235"/>
      <c r="BT53" s="235"/>
      <c r="BU53" s="235"/>
    </row>
    <row r="54" ht="19" customHeight="1" spans="2:73">
      <c r="B54" s="64"/>
      <c r="C54" s="65"/>
      <c r="D54" s="66"/>
      <c r="E54" s="67"/>
      <c r="F54" s="67"/>
      <c r="G54" s="68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147"/>
      <c r="V54" s="6"/>
      <c r="W54" s="145"/>
      <c r="X54" s="145"/>
      <c r="Y54" s="145"/>
      <c r="Z54" s="145"/>
      <c r="AA54" s="6"/>
      <c r="AB54" s="6"/>
      <c r="AC54" s="6"/>
      <c r="AD54" s="6"/>
      <c r="AE54" s="190" t="s">
        <v>47</v>
      </c>
      <c r="AF54" s="191">
        <v>1</v>
      </c>
      <c r="AG54" s="191">
        <v>2</v>
      </c>
      <c r="AH54" s="191">
        <v>3</v>
      </c>
      <c r="AI54" s="191">
        <v>4</v>
      </c>
      <c r="AJ54" s="191">
        <v>5</v>
      </c>
      <c r="AK54" s="191">
        <v>6</v>
      </c>
      <c r="AL54" s="191">
        <v>7</v>
      </c>
      <c r="AM54" s="191">
        <v>8</v>
      </c>
      <c r="AN54" s="191">
        <v>9</v>
      </c>
      <c r="AO54" s="191">
        <v>10</v>
      </c>
      <c r="AP54" s="191">
        <v>11</v>
      </c>
      <c r="AQ54" s="191">
        <v>12</v>
      </c>
      <c r="AR54" s="191">
        <v>13</v>
      </c>
      <c r="AS54" s="191">
        <v>14</v>
      </c>
      <c r="AT54" s="191">
        <v>15</v>
      </c>
      <c r="AU54" s="191">
        <v>16</v>
      </c>
      <c r="AV54" s="191">
        <v>17</v>
      </c>
      <c r="AW54" s="191">
        <v>18</v>
      </c>
      <c r="AX54" s="191">
        <v>19</v>
      </c>
      <c r="AY54" s="191">
        <v>20</v>
      </c>
      <c r="AZ54" s="191">
        <v>21</v>
      </c>
      <c r="BA54" s="191">
        <v>22</v>
      </c>
      <c r="BB54" s="191">
        <v>23</v>
      </c>
      <c r="BC54" s="191">
        <v>24</v>
      </c>
      <c r="BD54" s="191">
        <v>25</v>
      </c>
      <c r="BE54" s="6"/>
      <c r="BF54" s="6"/>
      <c r="BH54" s="229">
        <f t="shared" si="35"/>
        <v>1.6246</v>
      </c>
      <c r="BI54" s="227">
        <f t="shared" si="48"/>
        <v>1.88577609698278e-17</v>
      </c>
      <c r="BJ54" s="227"/>
      <c r="BK54" s="223"/>
      <c r="BL54" s="226"/>
      <c r="BM54" s="230"/>
      <c r="BN54" s="239"/>
      <c r="BO54" s="230"/>
      <c r="BP54" s="226"/>
      <c r="BQ54" s="226"/>
      <c r="BR54" s="226"/>
      <c r="BS54" s="235"/>
      <c r="BT54" s="235"/>
      <c r="BU54" s="235"/>
    </row>
    <row r="55" ht="19" customHeight="1" spans="2:73">
      <c r="B55" s="64"/>
      <c r="C55" s="65"/>
      <c r="D55" s="66"/>
      <c r="E55" s="67"/>
      <c r="F55" s="67"/>
      <c r="G55" s="68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147"/>
      <c r="V55" s="6"/>
      <c r="W55" s="6"/>
      <c r="X55" s="6"/>
      <c r="Y55" s="6"/>
      <c r="Z55" s="6"/>
      <c r="AA55" s="6"/>
      <c r="AB55" s="6"/>
      <c r="AC55" s="6"/>
      <c r="AD55" s="6"/>
      <c r="AE55" s="190" t="s">
        <v>108</v>
      </c>
      <c r="AF55" s="194" t="str">
        <f>IF(OR(C16&gt;AF20,C16&lt;AF26),"NG","OK")</f>
        <v>OK</v>
      </c>
      <c r="AG55" s="194" t="str">
        <f t="shared" ref="AG55:BD55" si="49">IF(OR(D16&gt;AG20,D16&lt;AG26),"NG","OK")</f>
        <v>OK</v>
      </c>
      <c r="AH55" s="194" t="str">
        <f t="shared" si="49"/>
        <v>OK</v>
      </c>
      <c r="AI55" s="194" t="str">
        <f t="shared" si="49"/>
        <v>OK</v>
      </c>
      <c r="AJ55" s="194" t="str">
        <f t="shared" si="49"/>
        <v>OK</v>
      </c>
      <c r="AK55" s="194" t="str">
        <f t="shared" si="49"/>
        <v>OK</v>
      </c>
      <c r="AL55" s="194" t="str">
        <f t="shared" si="49"/>
        <v>OK</v>
      </c>
      <c r="AM55" s="194" t="str">
        <f t="shared" si="49"/>
        <v>OK</v>
      </c>
      <c r="AN55" s="194" t="str">
        <f t="shared" si="49"/>
        <v>OK</v>
      </c>
      <c r="AO55" s="194" t="str">
        <f t="shared" si="49"/>
        <v>OK</v>
      </c>
      <c r="AP55" s="194" t="str">
        <f t="shared" si="49"/>
        <v>OK</v>
      </c>
      <c r="AQ55" s="194" t="str">
        <f t="shared" si="49"/>
        <v>OK</v>
      </c>
      <c r="AR55" s="194" t="str">
        <f t="shared" si="49"/>
        <v>OK</v>
      </c>
      <c r="AS55" s="194" t="str">
        <f t="shared" si="49"/>
        <v>OK</v>
      </c>
      <c r="AT55" s="194" t="str">
        <f t="shared" si="49"/>
        <v>OK</v>
      </c>
      <c r="AU55" s="194" t="str">
        <f t="shared" si="49"/>
        <v>OK</v>
      </c>
      <c r="AV55" s="194" t="str">
        <f t="shared" si="49"/>
        <v>OK</v>
      </c>
      <c r="AW55" s="194" t="str">
        <f t="shared" si="49"/>
        <v>OK</v>
      </c>
      <c r="AX55" s="194" t="str">
        <f t="shared" si="49"/>
        <v>OK</v>
      </c>
      <c r="AY55" s="194" t="str">
        <f t="shared" si="49"/>
        <v>OK</v>
      </c>
      <c r="AZ55" s="194" t="str">
        <f t="shared" si="49"/>
        <v>OK</v>
      </c>
      <c r="BA55" s="194" t="str">
        <f t="shared" si="49"/>
        <v>OK</v>
      </c>
      <c r="BB55" s="194" t="str">
        <f t="shared" si="49"/>
        <v>OK</v>
      </c>
      <c r="BC55" s="194" t="str">
        <f t="shared" si="49"/>
        <v>OK</v>
      </c>
      <c r="BD55" s="194" t="str">
        <f t="shared" si="49"/>
        <v>OK</v>
      </c>
      <c r="BE55" s="6"/>
      <c r="BF55" s="6"/>
      <c r="BH55" s="229">
        <f t="shared" si="35"/>
        <v>1.62524</v>
      </c>
      <c r="BI55" s="227">
        <f t="shared" si="48"/>
        <v>5.34866794736714e-17</v>
      </c>
      <c r="BJ55" s="227"/>
      <c r="BK55" s="223"/>
      <c r="BL55" s="226"/>
      <c r="BM55" s="230"/>
      <c r="BN55" s="239"/>
      <c r="BO55" s="230"/>
      <c r="BP55" s="226"/>
      <c r="BQ55" s="226"/>
      <c r="BR55" s="226"/>
      <c r="BS55" s="235"/>
      <c r="BT55" s="235"/>
      <c r="BU55" s="235"/>
    </row>
    <row r="56" ht="19" customHeight="1" spans="2:73">
      <c r="B56" s="64"/>
      <c r="C56" s="65"/>
      <c r="D56" s="66"/>
      <c r="E56" s="67"/>
      <c r="F56" s="67"/>
      <c r="G56" s="68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147"/>
      <c r="V56" s="6"/>
      <c r="W56" s="6"/>
      <c r="X56" s="6"/>
      <c r="Y56" s="6"/>
      <c r="Z56" s="6"/>
      <c r="AA56" s="6"/>
      <c r="AB56" s="6"/>
      <c r="AC56" s="6"/>
      <c r="AD56" s="6"/>
      <c r="AE56" s="190" t="s">
        <v>111</v>
      </c>
      <c r="AF56" s="196"/>
      <c r="AG56" s="196"/>
      <c r="AH56" s="196"/>
      <c r="AI56" s="196"/>
      <c r="AJ56" s="196"/>
      <c r="AK56" s="196"/>
      <c r="AL56" s="196"/>
      <c r="AM56" s="196"/>
      <c r="AN56" s="194" t="str">
        <f>IF(OR(COUNTIF(C16:K16,"&gt;"&amp;$AF$23)=9,COUNTIF(C16:K16,"&lt;"&amp;$AF$23)=9),"NG","OK")</f>
        <v>OK</v>
      </c>
      <c r="AO56" s="194" t="str">
        <f t="shared" ref="AO56:BD56" si="50">IF(OR(COUNTIF(D16:L16,"&gt;"&amp;$AF$23)=9,COUNTIF(D16:L16,"&lt;"&amp;$AF$23)=9),"NG","OK")</f>
        <v>OK</v>
      </c>
      <c r="AP56" s="194" t="str">
        <f t="shared" si="50"/>
        <v>OK</v>
      </c>
      <c r="AQ56" s="194" t="str">
        <f t="shared" si="50"/>
        <v>OK</v>
      </c>
      <c r="AR56" s="194" t="str">
        <f t="shared" si="50"/>
        <v>OK</v>
      </c>
      <c r="AS56" s="194" t="str">
        <f t="shared" si="50"/>
        <v>OK</v>
      </c>
      <c r="AT56" s="194" t="str">
        <f t="shared" si="50"/>
        <v>OK</v>
      </c>
      <c r="AU56" s="194" t="str">
        <f t="shared" si="50"/>
        <v>OK</v>
      </c>
      <c r="AV56" s="194" t="str">
        <f t="shared" si="50"/>
        <v>OK</v>
      </c>
      <c r="AW56" s="194" t="str">
        <f t="shared" si="50"/>
        <v>OK</v>
      </c>
      <c r="AX56" s="194" t="str">
        <f t="shared" si="50"/>
        <v>OK</v>
      </c>
      <c r="AY56" s="194" t="str">
        <f t="shared" si="50"/>
        <v>OK</v>
      </c>
      <c r="AZ56" s="194" t="str">
        <f t="shared" si="50"/>
        <v>OK</v>
      </c>
      <c r="BA56" s="194" t="str">
        <f t="shared" si="50"/>
        <v>OK</v>
      </c>
      <c r="BB56" s="194" t="str">
        <f t="shared" si="50"/>
        <v>OK</v>
      </c>
      <c r="BC56" s="194" t="str">
        <f t="shared" si="50"/>
        <v>OK</v>
      </c>
      <c r="BD56" s="194" t="str">
        <f t="shared" si="50"/>
        <v>OK</v>
      </c>
      <c r="BE56" s="6"/>
      <c r="BF56" s="6"/>
      <c r="BH56" s="229">
        <f t="shared" si="35"/>
        <v>1.62588</v>
      </c>
      <c r="BI56" s="227">
        <f t="shared" si="48"/>
        <v>1.4971569942884e-16</v>
      </c>
      <c r="BJ56" s="227"/>
      <c r="BK56" s="223"/>
      <c r="BL56" s="226"/>
      <c r="BM56" s="230"/>
      <c r="BN56" s="239"/>
      <c r="BO56" s="230"/>
      <c r="BP56" s="226"/>
      <c r="BQ56" s="226"/>
      <c r="BR56" s="226"/>
      <c r="BS56" s="235"/>
      <c r="BT56" s="235"/>
      <c r="BU56" s="235"/>
    </row>
    <row r="57" ht="19" customHeight="1" spans="2:73">
      <c r="B57" s="64"/>
      <c r="C57" s="65"/>
      <c r="D57" s="66"/>
      <c r="E57" s="67"/>
      <c r="F57" s="67"/>
      <c r="G57" s="68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147"/>
      <c r="V57" s="6"/>
      <c r="W57" s="6"/>
      <c r="X57" s="6"/>
      <c r="Y57" s="6"/>
      <c r="Z57" s="6"/>
      <c r="AA57" s="6"/>
      <c r="AB57" s="6"/>
      <c r="AC57" s="6"/>
      <c r="AD57" s="6"/>
      <c r="AE57" s="190" t="s">
        <v>114</v>
      </c>
      <c r="AF57" s="196"/>
      <c r="AG57" s="196"/>
      <c r="AH57" s="196"/>
      <c r="AI57" s="196"/>
      <c r="AJ57" s="196"/>
      <c r="AK57" s="194" t="str">
        <f>IF(OR(AND(C16&gt;D16,D16&gt;E16,E16&gt;F16,F16&gt;G16,G16&gt;H16),AND(C16&lt;D16,D16&lt;E16,E16&lt;F16,F16&lt;G16,G16&lt;H16)),"NG","OK")</f>
        <v>OK</v>
      </c>
      <c r="AL57" s="194" t="str">
        <f t="shared" ref="AL57:BD57" si="51">IF(OR(AND(D16&gt;E16,E16&gt;F16,F16&gt;G16,G16&gt;H16,H16&gt;I16),AND(D16&lt;E16,E16&lt;F16,F16&lt;G16,G16&lt;H16,H16&lt;I16)),"NG","OK")</f>
        <v>OK</v>
      </c>
      <c r="AM57" s="194" t="str">
        <f t="shared" si="51"/>
        <v>OK</v>
      </c>
      <c r="AN57" s="194" t="str">
        <f t="shared" si="51"/>
        <v>OK</v>
      </c>
      <c r="AO57" s="194" t="str">
        <f t="shared" si="51"/>
        <v>OK</v>
      </c>
      <c r="AP57" s="194" t="str">
        <f t="shared" si="51"/>
        <v>OK</v>
      </c>
      <c r="AQ57" s="194" t="str">
        <f t="shared" si="51"/>
        <v>OK</v>
      </c>
      <c r="AR57" s="194" t="str">
        <f t="shared" si="51"/>
        <v>OK</v>
      </c>
      <c r="AS57" s="194" t="str">
        <f t="shared" si="51"/>
        <v>OK</v>
      </c>
      <c r="AT57" s="194" t="str">
        <f t="shared" si="51"/>
        <v>OK</v>
      </c>
      <c r="AU57" s="194" t="str">
        <f t="shared" si="51"/>
        <v>OK</v>
      </c>
      <c r="AV57" s="194" t="str">
        <f t="shared" si="51"/>
        <v>OK</v>
      </c>
      <c r="AW57" s="194" t="str">
        <f t="shared" si="51"/>
        <v>OK</v>
      </c>
      <c r="AX57" s="194" t="str">
        <f t="shared" si="51"/>
        <v>OK</v>
      </c>
      <c r="AY57" s="194" t="str">
        <f t="shared" si="51"/>
        <v>OK</v>
      </c>
      <c r="AZ57" s="194" t="str">
        <f t="shared" si="51"/>
        <v>OK</v>
      </c>
      <c r="BA57" s="194" t="str">
        <f t="shared" si="51"/>
        <v>OK</v>
      </c>
      <c r="BB57" s="194" t="str">
        <f t="shared" si="51"/>
        <v>OK</v>
      </c>
      <c r="BC57" s="194" t="str">
        <f t="shared" si="51"/>
        <v>OK</v>
      </c>
      <c r="BD57" s="194" t="str">
        <f t="shared" si="51"/>
        <v>OK</v>
      </c>
      <c r="BE57" s="6"/>
      <c r="BF57" s="6"/>
      <c r="BH57" s="229">
        <f t="shared" si="35"/>
        <v>1.62652</v>
      </c>
      <c r="BI57" s="227">
        <f t="shared" si="48"/>
        <v>4.13575921237572e-16</v>
      </c>
      <c r="BJ57" s="227"/>
      <c r="BK57" s="223"/>
      <c r="BL57" s="226"/>
      <c r="BM57" s="230"/>
      <c r="BN57" s="239"/>
      <c r="BO57" s="230"/>
      <c r="BP57" s="226"/>
      <c r="BQ57" s="226"/>
      <c r="BR57" s="226"/>
      <c r="BS57" s="235"/>
      <c r="BT57" s="235"/>
      <c r="BU57" s="235"/>
    </row>
    <row r="58" ht="19" customHeight="1" spans="2:73">
      <c r="B58" s="64"/>
      <c r="C58" s="65"/>
      <c r="D58" s="66"/>
      <c r="E58" s="67"/>
      <c r="F58" s="67"/>
      <c r="G58" s="68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147"/>
      <c r="V58" s="6"/>
      <c r="W58" s="6"/>
      <c r="X58" s="6"/>
      <c r="Y58" s="6"/>
      <c r="Z58" s="6"/>
      <c r="AA58" s="6"/>
      <c r="AE58" s="190" t="s">
        <v>118</v>
      </c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/>
      <c r="AS58" s="194" t="str">
        <f>IF(OR(AND(C16&gt;D16,D16&lt;E16,E16&gt;F16,F16&lt;G16,G16&gt;H16,H16&lt;I16,I16&gt;J16,J16&lt;K16,K16&gt;L16,L16&lt;M16,M16&gt;N16,N16&lt;O16,O16&gt;P16),AND(C16&lt;D16,D16&gt;E16,E16&lt;F16,F16&gt;G16,G16&lt;H16,H16&gt;I16,I16&lt;J16,J16&gt;K16,K16&lt;L16,L16&gt;M16,M16&lt;N16,N16&gt;O16,O16&lt;P16)),"NG","OK")</f>
        <v>OK</v>
      </c>
      <c r="AT58" s="194" t="str">
        <f t="shared" ref="AT58:BD58" si="52">IF(OR(AND(D16&gt;E16,E16&lt;F16,F16&gt;G16,G16&lt;H16,H16&gt;I16,I16&lt;J16,J16&gt;K16,K16&lt;L16,L16&gt;M16,M16&lt;N16,N16&gt;O16,O16&lt;P16,P16&gt;Q16),AND(D16&lt;E16,E16&gt;F16,F16&lt;G16,G16&gt;H16,H16&lt;I16,I16&gt;J16,J16&lt;K16,K16&gt;L16,L16&lt;M16,M16&gt;N16,N16&lt;O16,O16&gt;P16,P16&lt;Q16)),"NG","OK")</f>
        <v>OK</v>
      </c>
      <c r="AU58" s="194" t="str">
        <f t="shared" si="52"/>
        <v>OK</v>
      </c>
      <c r="AV58" s="194" t="str">
        <f t="shared" si="52"/>
        <v>OK</v>
      </c>
      <c r="AW58" s="194" t="str">
        <f t="shared" si="52"/>
        <v>OK</v>
      </c>
      <c r="AX58" s="194" t="str">
        <f t="shared" si="52"/>
        <v>OK</v>
      </c>
      <c r="AY58" s="194" t="str">
        <f t="shared" si="52"/>
        <v>OK</v>
      </c>
      <c r="AZ58" s="194" t="str">
        <f t="shared" si="52"/>
        <v>OK</v>
      </c>
      <c r="BA58" s="194" t="str">
        <f t="shared" si="52"/>
        <v>OK</v>
      </c>
      <c r="BB58" s="194" t="str">
        <f t="shared" si="52"/>
        <v>OK</v>
      </c>
      <c r="BC58" s="194" t="str">
        <f t="shared" si="52"/>
        <v>OK</v>
      </c>
      <c r="BD58" s="194" t="str">
        <f t="shared" si="52"/>
        <v>OK</v>
      </c>
      <c r="BH58" s="229">
        <f t="shared" si="35"/>
        <v>1.62716</v>
      </c>
      <c r="BI58" s="227">
        <f t="shared" si="48"/>
        <v>1.12748129052962e-15</v>
      </c>
      <c r="BJ58" s="227"/>
      <c r="BK58" s="223"/>
      <c r="BL58" s="226"/>
      <c r="BM58" s="230"/>
      <c r="BN58" s="239"/>
      <c r="BO58" s="230"/>
      <c r="BP58" s="236"/>
      <c r="BQ58" s="226"/>
      <c r="BR58" s="226"/>
      <c r="BS58" s="235"/>
      <c r="BT58" s="235"/>
      <c r="BU58" s="235"/>
    </row>
    <row r="59" ht="19" customHeight="1" spans="2:73">
      <c r="B59" s="64"/>
      <c r="C59" s="65"/>
      <c r="D59" s="66"/>
      <c r="E59" s="67"/>
      <c r="F59" s="67"/>
      <c r="G59" s="68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147"/>
      <c r="V59" s="6"/>
      <c r="W59" s="6"/>
      <c r="X59" s="6"/>
      <c r="Y59" s="6"/>
      <c r="Z59" s="6"/>
      <c r="AA59" s="6"/>
      <c r="AE59" s="190" t="s">
        <v>141</v>
      </c>
      <c r="AF59" s="196"/>
      <c r="AG59" s="196"/>
      <c r="AH59" s="194" t="str">
        <f>IF(OR(COUNTIF(C16:E16,"&gt;"&amp;$AF$21)=2,COUNTIF(C16:E16,"&lt;"&amp;$AF$25)=2),"NG","OK")</f>
        <v>OK</v>
      </c>
      <c r="AI59" s="194" t="str">
        <f t="shared" ref="AI59:BD59" si="53">IF(OR(COUNTIF(D16:F16,"&gt;"&amp;$AF$21)=2,COUNTIF(D16:F16,"&lt;"&amp;$AF$25)=2),"NG","OK")</f>
        <v>OK</v>
      </c>
      <c r="AJ59" s="194" t="str">
        <f t="shared" si="53"/>
        <v>OK</v>
      </c>
      <c r="AK59" s="194" t="str">
        <f t="shared" si="53"/>
        <v>OK</v>
      </c>
      <c r="AL59" s="194" t="str">
        <f t="shared" si="53"/>
        <v>OK</v>
      </c>
      <c r="AM59" s="194" t="str">
        <f t="shared" si="53"/>
        <v>OK</v>
      </c>
      <c r="AN59" s="194" t="str">
        <f t="shared" si="53"/>
        <v>OK</v>
      </c>
      <c r="AO59" s="194" t="str">
        <f t="shared" si="53"/>
        <v>OK</v>
      </c>
      <c r="AP59" s="194" t="str">
        <f t="shared" si="53"/>
        <v>OK</v>
      </c>
      <c r="AQ59" s="194" t="str">
        <f t="shared" si="53"/>
        <v>OK</v>
      </c>
      <c r="AR59" s="194" t="str">
        <f t="shared" si="53"/>
        <v>OK</v>
      </c>
      <c r="AS59" s="194" t="str">
        <f t="shared" si="53"/>
        <v>OK</v>
      </c>
      <c r="AT59" s="194" t="str">
        <f t="shared" si="53"/>
        <v>OK</v>
      </c>
      <c r="AU59" s="194" t="str">
        <f t="shared" si="53"/>
        <v>OK</v>
      </c>
      <c r="AV59" s="194" t="str">
        <f t="shared" si="53"/>
        <v>OK</v>
      </c>
      <c r="AW59" s="194" t="str">
        <f t="shared" si="53"/>
        <v>OK</v>
      </c>
      <c r="AX59" s="194" t="str">
        <f t="shared" si="53"/>
        <v>OK</v>
      </c>
      <c r="AY59" s="194" t="str">
        <f t="shared" si="53"/>
        <v>OK</v>
      </c>
      <c r="AZ59" s="194" t="str">
        <f t="shared" si="53"/>
        <v>OK</v>
      </c>
      <c r="BA59" s="194" t="str">
        <f t="shared" si="53"/>
        <v>OK</v>
      </c>
      <c r="BB59" s="194" t="str">
        <f t="shared" si="53"/>
        <v>OK</v>
      </c>
      <c r="BC59" s="194" t="str">
        <f t="shared" si="53"/>
        <v>OK</v>
      </c>
      <c r="BD59" s="194" t="str">
        <f t="shared" si="53"/>
        <v>OK</v>
      </c>
      <c r="BH59" s="229">
        <f t="shared" si="35"/>
        <v>1.6278</v>
      </c>
      <c r="BI59" s="227">
        <f t="shared" si="48"/>
        <v>3.03339968867843e-15</v>
      </c>
      <c r="BJ59" s="227"/>
      <c r="BK59" s="223"/>
      <c r="BL59" s="226"/>
      <c r="BM59" s="230"/>
      <c r="BN59" s="239"/>
      <c r="BO59" s="230"/>
      <c r="BP59" s="226"/>
      <c r="BQ59" s="226"/>
      <c r="BR59" s="226"/>
      <c r="BS59" s="235"/>
      <c r="BT59" s="235"/>
      <c r="BU59" s="235"/>
    </row>
    <row r="60" ht="19" customHeight="1" spans="2:73">
      <c r="B60" s="64"/>
      <c r="C60" s="65"/>
      <c r="D60" s="66"/>
      <c r="E60" s="67"/>
      <c r="F60" s="67"/>
      <c r="G60" s="68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147"/>
      <c r="V60" s="6"/>
      <c r="W60" s="6"/>
      <c r="X60" s="6"/>
      <c r="Y60" s="6"/>
      <c r="Z60" s="6"/>
      <c r="AA60" s="6"/>
      <c r="AE60" s="190" t="s">
        <v>145</v>
      </c>
      <c r="AF60" s="196"/>
      <c r="AG60" s="196"/>
      <c r="AH60" s="196"/>
      <c r="AI60" s="196"/>
      <c r="AJ60" s="194" t="str">
        <f>IF(OR(COUNTIF(C16:G16,"&gt;"&amp;$AF$22)=4,COUNTIF(C16:G16,"&lt;"&amp;$AF$24)=4),"NG","OK")</f>
        <v>OK</v>
      </c>
      <c r="AK60" s="194" t="str">
        <f t="shared" ref="AK60:BD60" si="54">IF(OR(COUNTIF(D16:H16,"&gt;"&amp;$AF$22)=4,COUNTIF(D16:H16,"&lt;"&amp;$AF$24)=4),"NG","OK")</f>
        <v>OK</v>
      </c>
      <c r="AL60" s="194" t="str">
        <f t="shared" si="54"/>
        <v>OK</v>
      </c>
      <c r="AM60" s="194" t="str">
        <f t="shared" si="54"/>
        <v>OK</v>
      </c>
      <c r="AN60" s="194" t="str">
        <f t="shared" si="54"/>
        <v>OK</v>
      </c>
      <c r="AO60" s="194" t="str">
        <f t="shared" si="54"/>
        <v>OK</v>
      </c>
      <c r="AP60" s="194" t="str">
        <f t="shared" si="54"/>
        <v>OK</v>
      </c>
      <c r="AQ60" s="194" t="str">
        <f t="shared" si="54"/>
        <v>OK</v>
      </c>
      <c r="AR60" s="194" t="str">
        <f t="shared" si="54"/>
        <v>OK</v>
      </c>
      <c r="AS60" s="194" t="str">
        <f t="shared" si="54"/>
        <v>OK</v>
      </c>
      <c r="AT60" s="194" t="str">
        <f t="shared" si="54"/>
        <v>OK</v>
      </c>
      <c r="AU60" s="194" t="str">
        <f t="shared" si="54"/>
        <v>OK</v>
      </c>
      <c r="AV60" s="194" t="str">
        <f t="shared" si="54"/>
        <v>OK</v>
      </c>
      <c r="AW60" s="194" t="str">
        <f t="shared" si="54"/>
        <v>OK</v>
      </c>
      <c r="AX60" s="194" t="str">
        <f t="shared" si="54"/>
        <v>OK</v>
      </c>
      <c r="AY60" s="194" t="str">
        <f t="shared" si="54"/>
        <v>OK</v>
      </c>
      <c r="AZ60" s="194" t="str">
        <f t="shared" si="54"/>
        <v>OK</v>
      </c>
      <c r="BA60" s="194" t="str">
        <f t="shared" si="54"/>
        <v>OK</v>
      </c>
      <c r="BB60" s="194" t="str">
        <f t="shared" si="54"/>
        <v>OK</v>
      </c>
      <c r="BC60" s="194" t="str">
        <f t="shared" si="54"/>
        <v>OK</v>
      </c>
      <c r="BD60" s="194" t="str">
        <f t="shared" si="54"/>
        <v>OK</v>
      </c>
      <c r="BH60" s="229">
        <f t="shared" si="35"/>
        <v>1.62844</v>
      </c>
      <c r="BI60" s="227">
        <f t="shared" si="48"/>
        <v>8.05408349716938e-15</v>
      </c>
      <c r="BJ60" s="227"/>
      <c r="BK60" s="223"/>
      <c r="BL60" s="226"/>
      <c r="BM60" s="230"/>
      <c r="BN60" s="239"/>
      <c r="BO60" s="230"/>
      <c r="BP60" s="226"/>
      <c r="BQ60" s="226"/>
      <c r="BR60" s="226"/>
      <c r="BS60" s="235"/>
      <c r="BT60" s="235"/>
      <c r="BU60" s="235"/>
    </row>
    <row r="61" ht="19" customHeight="1" spans="2:73">
      <c r="B61" s="64"/>
      <c r="C61" s="65"/>
      <c r="D61" s="66"/>
      <c r="E61" s="67"/>
      <c r="F61" s="67"/>
      <c r="G61" s="68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147"/>
      <c r="V61" s="6"/>
      <c r="W61" s="6"/>
      <c r="X61" s="6"/>
      <c r="Y61" s="6"/>
      <c r="Z61" s="6"/>
      <c r="AA61" s="6"/>
      <c r="AE61" s="190" t="s">
        <v>149</v>
      </c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4" t="str">
        <f>IF((COUNTIFS(C16:Q16,"&lt;="&amp;$AF$22,C16:Q16,"&gt;="&amp;$AF$24))=15,"NG","OK")</f>
        <v>OK</v>
      </c>
      <c r="AU61" s="194" t="str">
        <f t="shared" ref="AU61:BD61" si="55">IF((COUNTIFS(D16:R16,"&lt;="&amp;$AF$22,D16:R16,"&gt;="&amp;$AF$24))=15,"NG","OK")</f>
        <v>OK</v>
      </c>
      <c r="AV61" s="194" t="str">
        <f t="shared" si="55"/>
        <v>OK</v>
      </c>
      <c r="AW61" s="194" t="str">
        <f t="shared" si="55"/>
        <v>OK</v>
      </c>
      <c r="AX61" s="194" t="str">
        <f t="shared" si="55"/>
        <v>OK</v>
      </c>
      <c r="AY61" s="194" t="str">
        <f t="shared" si="55"/>
        <v>OK</v>
      </c>
      <c r="AZ61" s="194" t="str">
        <f t="shared" si="55"/>
        <v>OK</v>
      </c>
      <c r="BA61" s="194" t="str">
        <f t="shared" si="55"/>
        <v>OK</v>
      </c>
      <c r="BB61" s="194" t="str">
        <f t="shared" si="55"/>
        <v>OK</v>
      </c>
      <c r="BC61" s="194" t="str">
        <f t="shared" si="55"/>
        <v>OK</v>
      </c>
      <c r="BD61" s="194" t="str">
        <f t="shared" si="55"/>
        <v>OK</v>
      </c>
      <c r="BH61" s="229">
        <f t="shared" si="35"/>
        <v>1.62908</v>
      </c>
      <c r="BI61" s="227">
        <f t="shared" si="48"/>
        <v>2.11041960810228e-14</v>
      </c>
      <c r="BJ61" s="227"/>
      <c r="BK61" s="223"/>
      <c r="BL61" s="226"/>
      <c r="BM61" s="230"/>
      <c r="BN61" s="239"/>
      <c r="BO61" s="230"/>
      <c r="BP61" s="226"/>
      <c r="BQ61" s="226"/>
      <c r="BR61" s="226"/>
      <c r="BS61" s="235"/>
      <c r="BT61" s="235"/>
      <c r="BU61" s="235"/>
    </row>
    <row r="62" ht="19" customHeight="1" spans="2:73">
      <c r="B62" s="69"/>
      <c r="C62" s="69"/>
      <c r="D62" s="69"/>
      <c r="E62" s="69"/>
      <c r="F62" s="69"/>
      <c r="G62" s="69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9"/>
      <c r="V62" s="6"/>
      <c r="W62" s="6"/>
      <c r="X62" s="6"/>
      <c r="Y62" s="6"/>
      <c r="Z62" s="6"/>
      <c r="AA62" s="6"/>
      <c r="AE62" s="190" t="s">
        <v>152</v>
      </c>
      <c r="AF62" s="196"/>
      <c r="AG62" s="196"/>
      <c r="AH62" s="196"/>
      <c r="AI62" s="196"/>
      <c r="AJ62" s="196"/>
      <c r="AK62" s="196"/>
      <c r="AL62" s="196"/>
      <c r="AM62" s="194" t="str">
        <f>IF((COUNTIF(C16:J16,"&gt;"&amp;$AF$22)+COUNTIF(C16:J16,"&lt;"&amp;$AF$24))=8,"NG","OK")</f>
        <v>OK</v>
      </c>
      <c r="AN62" s="194" t="str">
        <f t="shared" ref="AN62:BD62" si="56">IF((COUNTIF(D16:K16,"&gt;"&amp;$AF$22)+COUNTIF(D16:K16,"&lt;"&amp;$AF$24))=8,"NG","OK")</f>
        <v>OK</v>
      </c>
      <c r="AO62" s="194" t="str">
        <f t="shared" si="56"/>
        <v>OK</v>
      </c>
      <c r="AP62" s="194" t="str">
        <f t="shared" si="56"/>
        <v>OK</v>
      </c>
      <c r="AQ62" s="194" t="str">
        <f t="shared" si="56"/>
        <v>OK</v>
      </c>
      <c r="AR62" s="194" t="str">
        <f t="shared" si="56"/>
        <v>OK</v>
      </c>
      <c r="AS62" s="194" t="str">
        <f t="shared" si="56"/>
        <v>OK</v>
      </c>
      <c r="AT62" s="194" t="str">
        <f t="shared" si="56"/>
        <v>OK</v>
      </c>
      <c r="AU62" s="194" t="str">
        <f t="shared" si="56"/>
        <v>OK</v>
      </c>
      <c r="AV62" s="194" t="str">
        <f t="shared" si="56"/>
        <v>OK</v>
      </c>
      <c r="AW62" s="194" t="str">
        <f t="shared" si="56"/>
        <v>OK</v>
      </c>
      <c r="AX62" s="194" t="str">
        <f t="shared" si="56"/>
        <v>OK</v>
      </c>
      <c r="AY62" s="194" t="str">
        <f t="shared" si="56"/>
        <v>OK</v>
      </c>
      <c r="AZ62" s="194" t="str">
        <f t="shared" si="56"/>
        <v>OK</v>
      </c>
      <c r="BA62" s="194" t="str">
        <f t="shared" si="56"/>
        <v>OK</v>
      </c>
      <c r="BB62" s="194" t="str">
        <f t="shared" si="56"/>
        <v>OK</v>
      </c>
      <c r="BC62" s="194" t="str">
        <f t="shared" si="56"/>
        <v>OK</v>
      </c>
      <c r="BD62" s="194" t="str">
        <f t="shared" si="56"/>
        <v>OK</v>
      </c>
      <c r="BH62" s="229">
        <f t="shared" si="35"/>
        <v>1.62972</v>
      </c>
      <c r="BI62" s="227">
        <f t="shared" si="48"/>
        <v>5.45742397901528e-14</v>
      </c>
      <c r="BJ62" s="227"/>
      <c r="BK62" s="223"/>
      <c r="BL62" s="226"/>
      <c r="BM62" s="230"/>
      <c r="BN62" s="239"/>
      <c r="BO62" s="230"/>
      <c r="BP62" s="226"/>
      <c r="BQ62" s="226"/>
      <c r="BR62" s="226"/>
      <c r="BS62" s="235"/>
      <c r="BT62" s="235"/>
      <c r="BU62" s="235"/>
    </row>
    <row r="63" ht="19" customHeight="1" spans="31:73">
      <c r="AE63" s="203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BH63" s="229">
        <f t="shared" si="35"/>
        <v>1.63036</v>
      </c>
      <c r="BI63" s="227">
        <f t="shared" si="48"/>
        <v>1.39274873317991e-13</v>
      </c>
      <c r="BJ63" s="227"/>
      <c r="BK63" s="223"/>
      <c r="BL63" s="226"/>
      <c r="BM63" s="230"/>
      <c r="BN63" s="239"/>
      <c r="BO63" s="230"/>
      <c r="BP63" s="226"/>
      <c r="BQ63" s="226"/>
      <c r="BR63" s="226"/>
      <c r="BS63" s="226"/>
      <c r="BT63" s="226"/>
      <c r="BU63" s="226"/>
    </row>
    <row r="64" ht="19" customHeight="1" spans="31:73">
      <c r="AE64" s="205"/>
      <c r="BH64" s="229">
        <f t="shared" si="35"/>
        <v>1.631</v>
      </c>
      <c r="BI64" s="227">
        <f t="shared" si="48"/>
        <v>3.50771294324685e-13</v>
      </c>
      <c r="BJ64" s="227"/>
      <c r="BK64" s="223"/>
      <c r="BL64" s="226"/>
      <c r="BM64" s="230"/>
      <c r="BN64" s="239"/>
      <c r="BO64" s="230"/>
      <c r="BP64" s="226"/>
      <c r="BQ64" s="226"/>
      <c r="BR64" s="226"/>
      <c r="BS64" s="226"/>
      <c r="BT64" s="226"/>
      <c r="BU64" s="226"/>
    </row>
    <row r="65" ht="19" customHeight="1" spans="31:73">
      <c r="AE65" s="205"/>
      <c r="BH65" s="229">
        <f t="shared" si="35"/>
        <v>1.63164</v>
      </c>
      <c r="BI65" s="227">
        <f t="shared" si="48"/>
        <v>8.71849482892481e-13</v>
      </c>
      <c r="BJ65" s="227"/>
      <c r="BK65" s="223"/>
      <c r="BL65" s="226"/>
      <c r="BM65" s="230"/>
      <c r="BN65" s="239"/>
      <c r="BO65" s="230"/>
      <c r="BP65" s="226"/>
      <c r="BQ65" s="226"/>
      <c r="BR65" s="226"/>
      <c r="BS65" s="226"/>
      <c r="BT65" s="226"/>
      <c r="BU65" s="226"/>
    </row>
    <row r="66" ht="19" customHeight="1" spans="31:73">
      <c r="AE66" s="205"/>
      <c r="BH66" s="229">
        <f t="shared" si="35"/>
        <v>1.63228</v>
      </c>
      <c r="BI66" s="227">
        <f t="shared" si="48"/>
        <v>2.13857841527911e-12</v>
      </c>
      <c r="BJ66" s="227"/>
      <c r="BK66" s="223"/>
      <c r="BL66" s="226"/>
      <c r="BM66" s="230"/>
      <c r="BN66" s="239"/>
      <c r="BO66" s="230"/>
      <c r="BP66" s="226"/>
      <c r="BQ66" s="226"/>
      <c r="BR66" s="226"/>
      <c r="BS66" s="226"/>
      <c r="BT66" s="226"/>
      <c r="BU66" s="226"/>
    </row>
    <row r="67" ht="19" customHeight="1" spans="31:73">
      <c r="AE67" s="205"/>
      <c r="BH67" s="229">
        <f t="shared" si="35"/>
        <v>1.63292</v>
      </c>
      <c r="BI67" s="227">
        <f t="shared" si="48"/>
        <v>5.17696274736557e-12</v>
      </c>
      <c r="BJ67" s="227"/>
      <c r="BK67" s="223"/>
      <c r="BL67" s="226"/>
      <c r="BM67" s="230"/>
      <c r="BN67" s="239"/>
      <c r="BO67" s="230"/>
      <c r="BP67" s="226"/>
      <c r="BQ67" s="226"/>
      <c r="BR67" s="226"/>
      <c r="BS67" s="226"/>
      <c r="BT67" s="226"/>
      <c r="BU67" s="226"/>
    </row>
    <row r="68" ht="19" customHeight="1" spans="31:73">
      <c r="AE68" s="205"/>
      <c r="BH68" s="229">
        <f t="shared" si="35"/>
        <v>1.63356</v>
      </c>
      <c r="BI68" s="227">
        <f t="shared" si="48"/>
        <v>1.23677613494978e-11</v>
      </c>
      <c r="BJ68" s="227"/>
      <c r="BK68" s="223"/>
      <c r="BL68" s="226"/>
      <c r="BM68" s="230"/>
      <c r="BN68" s="239"/>
      <c r="BO68" s="230"/>
      <c r="BP68" s="226"/>
      <c r="BQ68" s="226"/>
      <c r="BR68" s="226"/>
      <c r="BS68" s="226"/>
      <c r="BT68" s="226"/>
      <c r="BU68" s="226"/>
    </row>
    <row r="69" ht="19" customHeight="1" spans="31:73">
      <c r="AE69" s="205"/>
      <c r="BH69" s="229">
        <f t="shared" si="35"/>
        <v>1.6342</v>
      </c>
      <c r="BI69" s="227">
        <f t="shared" si="48"/>
        <v>2.91590485392633e-11</v>
      </c>
      <c r="BJ69" s="227"/>
      <c r="BK69" s="223"/>
      <c r="BL69" s="226"/>
      <c r="BM69" s="230"/>
      <c r="BN69" s="239"/>
      <c r="BO69" s="230"/>
      <c r="BP69" s="226"/>
      <c r="BQ69" s="226"/>
      <c r="BR69" s="226"/>
      <c r="BS69" s="226"/>
      <c r="BT69" s="226"/>
      <c r="BU69" s="226"/>
    </row>
    <row r="70" ht="19" customHeight="1" spans="31:73">
      <c r="AE70" s="205"/>
      <c r="BH70" s="229">
        <f t="shared" si="35"/>
        <v>1.63484</v>
      </c>
      <c r="BI70" s="227">
        <f t="shared" si="48"/>
        <v>6.78456171109144e-11</v>
      </c>
      <c r="BJ70" s="227"/>
      <c r="BK70" s="223"/>
      <c r="BL70" s="226"/>
      <c r="BM70" s="230"/>
      <c r="BN70" s="239"/>
      <c r="BO70" s="230"/>
      <c r="BP70" s="226"/>
      <c r="BQ70" s="226"/>
      <c r="BR70" s="226"/>
      <c r="BS70" s="226"/>
      <c r="BT70" s="226"/>
      <c r="BU70" s="226"/>
    </row>
    <row r="71" ht="19" customHeight="1" spans="31:73">
      <c r="AE71" s="205"/>
      <c r="BH71" s="229">
        <f t="shared" si="35"/>
        <v>1.63548</v>
      </c>
      <c r="BI71" s="227">
        <f t="shared" si="48"/>
        <v>1.55788875007774e-10</v>
      </c>
      <c r="BJ71" s="227"/>
      <c r="BK71" s="223"/>
      <c r="BL71" s="226"/>
      <c r="BM71" s="230"/>
      <c r="BN71" s="239"/>
      <c r="BO71" s="230"/>
      <c r="BP71" s="226"/>
      <c r="BQ71" s="226"/>
      <c r="BR71" s="226"/>
      <c r="BS71" s="226"/>
      <c r="BT71" s="226"/>
      <c r="BU71" s="226"/>
    </row>
    <row r="72" ht="19" customHeight="1" spans="60:73">
      <c r="BH72" s="229">
        <f t="shared" si="35"/>
        <v>1.63612</v>
      </c>
      <c r="BI72" s="227">
        <f t="shared" si="48"/>
        <v>3.53034607776393e-10</v>
      </c>
      <c r="BJ72" s="227"/>
      <c r="BK72" s="223"/>
      <c r="BL72" s="226"/>
      <c r="BM72" s="230"/>
      <c r="BN72" s="239"/>
      <c r="BO72" s="230"/>
      <c r="BP72" s="226"/>
      <c r="BQ72" s="226"/>
      <c r="BR72" s="226"/>
      <c r="BS72" s="226"/>
      <c r="BT72" s="226"/>
      <c r="BU72" s="226"/>
    </row>
    <row r="73" ht="19" customHeight="1" spans="60:73">
      <c r="BH73" s="229">
        <f t="shared" ref="BH73:BH104" si="57">BH72+$BQ$12</f>
        <v>1.63676</v>
      </c>
      <c r="BI73" s="227">
        <f t="shared" si="48"/>
        <v>7.89522146852634e-10</v>
      </c>
      <c r="BJ73" s="227"/>
      <c r="BK73" s="223"/>
      <c r="BL73" s="226"/>
      <c r="BM73" s="230"/>
      <c r="BN73" s="239"/>
      <c r="BO73" s="230"/>
      <c r="BP73" s="226"/>
      <c r="BQ73" s="226"/>
      <c r="BR73" s="226"/>
      <c r="BS73" s="226"/>
      <c r="BT73" s="226"/>
      <c r="BU73" s="226"/>
    </row>
    <row r="74" ht="19" customHeight="1" spans="60:73">
      <c r="BH74" s="229">
        <f t="shared" si="57"/>
        <v>1.6374</v>
      </c>
      <c r="BI74" s="227">
        <f t="shared" si="48"/>
        <v>1.74251910545413e-9</v>
      </c>
      <c r="BJ74" s="227"/>
      <c r="BK74" s="223"/>
      <c r="BL74" s="226"/>
      <c r="BM74" s="230"/>
      <c r="BN74" s="239"/>
      <c r="BO74" s="230"/>
      <c r="BP74" s="226"/>
      <c r="BQ74" s="226"/>
      <c r="BR74" s="226"/>
      <c r="BS74" s="226"/>
      <c r="BT74" s="226"/>
      <c r="BU74" s="226"/>
    </row>
    <row r="75" ht="19" customHeight="1" spans="60:73">
      <c r="BH75" s="229">
        <f t="shared" si="57"/>
        <v>1.63804</v>
      </c>
      <c r="BI75" s="227">
        <f t="shared" si="48"/>
        <v>3.7953949551367e-9</v>
      </c>
      <c r="BJ75" s="227"/>
      <c r="BK75" s="223"/>
      <c r="BL75" s="226"/>
      <c r="BM75" s="230"/>
      <c r="BN75" s="239"/>
      <c r="BO75" s="230"/>
      <c r="BP75" s="226"/>
      <c r="BQ75" s="226"/>
      <c r="BR75" s="226"/>
      <c r="BS75" s="226"/>
      <c r="BT75" s="226"/>
      <c r="BU75" s="226"/>
    </row>
    <row r="76" ht="19" customHeight="1" spans="60:73">
      <c r="BH76" s="229">
        <f t="shared" si="57"/>
        <v>1.63868</v>
      </c>
      <c r="BI76" s="227">
        <f t="shared" si="48"/>
        <v>8.15835500318537e-9</v>
      </c>
      <c r="BJ76" s="227"/>
      <c r="BK76" s="223"/>
      <c r="BL76" s="226"/>
      <c r="BM76" s="230"/>
      <c r="BN76" s="239"/>
      <c r="BO76" s="230"/>
      <c r="BP76" s="226"/>
      <c r="BQ76" s="226"/>
      <c r="BR76" s="226"/>
      <c r="BS76" s="226"/>
      <c r="BT76" s="226"/>
      <c r="BU76" s="226"/>
    </row>
    <row r="77" ht="19" customHeight="1" spans="60:73">
      <c r="BH77" s="229">
        <f t="shared" si="57"/>
        <v>1.63932</v>
      </c>
      <c r="BI77" s="227">
        <f t="shared" si="48"/>
        <v>1.73067060944202e-8</v>
      </c>
      <c r="BJ77" s="227"/>
      <c r="BK77" s="223"/>
      <c r="BL77" s="226"/>
      <c r="BM77" s="230"/>
      <c r="BN77" s="239"/>
      <c r="BO77" s="230"/>
      <c r="BP77" s="226"/>
      <c r="BQ77" s="226"/>
      <c r="BR77" s="226"/>
      <c r="BS77" s="226"/>
      <c r="BT77" s="226"/>
      <c r="BU77" s="226"/>
    </row>
    <row r="78" ht="19" customHeight="1" spans="60:73">
      <c r="BH78" s="229">
        <f t="shared" si="57"/>
        <v>1.63996</v>
      </c>
      <c r="BI78" s="227">
        <f t="shared" si="48"/>
        <v>3.62320104957934e-8</v>
      </c>
      <c r="BJ78" s="227"/>
      <c r="BK78" s="223"/>
      <c r="BL78" s="226"/>
      <c r="BM78" s="230"/>
      <c r="BN78" s="239"/>
      <c r="BO78" s="230"/>
      <c r="BP78" s="226"/>
      <c r="BQ78" s="226"/>
      <c r="BR78" s="226"/>
      <c r="BS78" s="226"/>
      <c r="BT78" s="226"/>
      <c r="BU78" s="226"/>
    </row>
    <row r="79" ht="19" customHeight="1" spans="60:73">
      <c r="BH79" s="229">
        <f t="shared" si="57"/>
        <v>1.6406</v>
      </c>
      <c r="BI79" s="227">
        <f t="shared" si="48"/>
        <v>7.48577284464278e-8</v>
      </c>
      <c r="BJ79" s="227"/>
      <c r="BK79" s="223"/>
      <c r="BL79" s="226"/>
      <c r="BM79" s="230"/>
      <c r="BN79" s="239"/>
      <c r="BO79" s="230"/>
      <c r="BP79" s="226"/>
      <c r="BQ79" s="226"/>
      <c r="BR79" s="226"/>
      <c r="BS79" s="226"/>
      <c r="BT79" s="226"/>
      <c r="BU79" s="226"/>
    </row>
    <row r="80" ht="19" customHeight="1" spans="60:73">
      <c r="BH80" s="229">
        <f t="shared" si="57"/>
        <v>1.64124</v>
      </c>
      <c r="BI80" s="227">
        <f t="shared" si="48"/>
        <v>1.52632511722661e-7</v>
      </c>
      <c r="BJ80" s="227"/>
      <c r="BK80" s="223"/>
      <c r="BL80" s="226"/>
      <c r="BM80" s="230"/>
      <c r="BN80" s="239"/>
      <c r="BO80" s="230"/>
      <c r="BP80" s="226"/>
      <c r="BQ80" s="226"/>
      <c r="BR80" s="226"/>
      <c r="BS80" s="226"/>
      <c r="BT80" s="226"/>
      <c r="BU80" s="226"/>
    </row>
    <row r="81" ht="19" customHeight="1" spans="60:73">
      <c r="BH81" s="229">
        <f t="shared" si="57"/>
        <v>1.64188</v>
      </c>
      <c r="BI81" s="227">
        <f t="shared" si="48"/>
        <v>3.07130999851372e-7</v>
      </c>
      <c r="BJ81" s="227"/>
      <c r="BK81" s="223"/>
      <c r="BL81" s="226"/>
      <c r="BM81" s="230"/>
      <c r="BN81" s="239"/>
      <c r="BO81" s="230"/>
      <c r="BP81" s="226"/>
      <c r="BQ81" s="226"/>
      <c r="BR81" s="226"/>
      <c r="BS81" s="226"/>
      <c r="BT81" s="226"/>
      <c r="BU81" s="226"/>
    </row>
    <row r="82" ht="19" customHeight="1" spans="60:73">
      <c r="BH82" s="229">
        <f t="shared" si="57"/>
        <v>1.64252</v>
      </c>
      <c r="BI82" s="227">
        <f t="shared" si="48"/>
        <v>6.09910980141461e-7</v>
      </c>
      <c r="BJ82" s="227"/>
      <c r="BK82" s="223"/>
      <c r="BL82" s="226"/>
      <c r="BM82" s="230"/>
      <c r="BN82" s="239"/>
      <c r="BO82" s="230"/>
      <c r="BP82" s="226"/>
      <c r="BQ82" s="226"/>
      <c r="BR82" s="226"/>
      <c r="BS82" s="226"/>
      <c r="BT82" s="226"/>
      <c r="BU82" s="226"/>
    </row>
    <row r="83" ht="19" customHeight="1" spans="60:73">
      <c r="BH83" s="229">
        <f t="shared" si="57"/>
        <v>1.64316</v>
      </c>
      <c r="BI83" s="227">
        <f t="shared" si="48"/>
        <v>1.19529594507631e-6</v>
      </c>
      <c r="BJ83" s="227"/>
      <c r="BK83" s="223"/>
      <c r="BL83" s="226"/>
      <c r="BM83" s="230"/>
      <c r="BN83" s="239"/>
      <c r="BO83" s="230"/>
      <c r="BP83" s="226"/>
      <c r="BQ83" s="226"/>
      <c r="BR83" s="226"/>
      <c r="BS83" s="226"/>
      <c r="BT83" s="226"/>
      <c r="BU83" s="226"/>
    </row>
    <row r="84" spans="60:73">
      <c r="BH84" s="229">
        <f t="shared" si="57"/>
        <v>1.6438</v>
      </c>
      <c r="BI84" s="227">
        <f t="shared" si="48"/>
        <v>2.31180200622695e-6</v>
      </c>
      <c r="BJ84" s="227"/>
      <c r="BK84" s="223"/>
      <c r="BL84" s="226"/>
      <c r="BM84" s="230"/>
      <c r="BN84" s="239"/>
      <c r="BO84" s="230"/>
      <c r="BP84" s="236"/>
      <c r="BQ84" s="226"/>
      <c r="BR84" s="226"/>
      <c r="BS84" s="226"/>
      <c r="BT84" s="226"/>
      <c r="BU84" s="226"/>
    </row>
    <row r="85" spans="60:73">
      <c r="BH85" s="229">
        <f t="shared" si="57"/>
        <v>1.64444</v>
      </c>
      <c r="BI85" s="227">
        <f t="shared" ref="BI85:BI116" si="58">NORMDIST(BH85,AVERAGE($C$6:$AA$10),STDEV($C$6:$AA$10),0)/3</f>
        <v>4.41257420853795e-6</v>
      </c>
      <c r="BJ85" s="227"/>
      <c r="BK85" s="223"/>
      <c r="BL85" s="226"/>
      <c r="BM85" s="230"/>
      <c r="BN85" s="239"/>
      <c r="BO85" s="230"/>
      <c r="BP85" s="226"/>
      <c r="BQ85" s="226"/>
      <c r="BR85" s="226"/>
      <c r="BS85" s="226"/>
      <c r="BT85" s="226"/>
      <c r="BU85" s="226"/>
    </row>
    <row r="86" spans="60:73">
      <c r="BH86" s="229">
        <f t="shared" si="57"/>
        <v>1.64508</v>
      </c>
      <c r="BI86" s="227">
        <f t="shared" si="58"/>
        <v>8.31188649514719e-6</v>
      </c>
      <c r="BJ86" s="227"/>
      <c r="BK86" s="223"/>
      <c r="BL86" s="226"/>
      <c r="BM86" s="230"/>
      <c r="BN86" s="239"/>
      <c r="BO86" s="230"/>
      <c r="BP86" s="226"/>
      <c r="BQ86" s="226"/>
      <c r="BR86" s="226"/>
      <c r="BS86" s="226"/>
      <c r="BT86" s="226"/>
      <c r="BU86" s="226"/>
    </row>
    <row r="87" spans="60:73">
      <c r="BH87" s="229">
        <f t="shared" si="57"/>
        <v>1.64572</v>
      </c>
      <c r="BI87" s="227">
        <f t="shared" si="58"/>
        <v>1.54515973204488e-5</v>
      </c>
      <c r="BJ87" s="227"/>
      <c r="BK87" s="223"/>
      <c r="BL87" s="226"/>
      <c r="BM87" s="230"/>
      <c r="BN87" s="239"/>
      <c r="BO87" s="230"/>
      <c r="BP87" s="226"/>
      <c r="BQ87" s="226"/>
      <c r="BR87" s="226"/>
      <c r="BS87" s="226"/>
      <c r="BT87" s="226"/>
      <c r="BU87" s="226"/>
    </row>
    <row r="88" spans="60:73">
      <c r="BH88" s="229">
        <f t="shared" si="57"/>
        <v>1.64636</v>
      </c>
      <c r="BI88" s="227">
        <f t="shared" si="58"/>
        <v>2.83474080372668e-5</v>
      </c>
      <c r="BJ88" s="227"/>
      <c r="BK88" s="223"/>
      <c r="BL88" s="226"/>
      <c r="BM88" s="230"/>
      <c r="BN88" s="239"/>
      <c r="BO88" s="230"/>
      <c r="BP88" s="226"/>
      <c r="BQ88" s="226"/>
      <c r="BR88" s="226"/>
      <c r="BS88" s="226"/>
      <c r="BT88" s="226"/>
      <c r="BU88" s="226"/>
    </row>
    <row r="89" spans="60:73">
      <c r="BH89" s="229">
        <f t="shared" si="57"/>
        <v>1.647</v>
      </c>
      <c r="BI89" s="227">
        <f t="shared" si="58"/>
        <v>5.13238851386652e-5</v>
      </c>
      <c r="BJ89" s="227"/>
      <c r="BK89" s="223"/>
      <c r="BL89" s="226"/>
      <c r="BM89" s="230"/>
      <c r="BN89" s="239"/>
      <c r="BO89" s="230"/>
      <c r="BP89" s="226"/>
      <c r="BQ89" s="226"/>
      <c r="BR89" s="226"/>
      <c r="BS89" s="226"/>
      <c r="BT89" s="226"/>
      <c r="BU89" s="226"/>
    </row>
    <row r="90" spans="60:73">
      <c r="BH90" s="229">
        <f t="shared" si="57"/>
        <v>1.64764</v>
      </c>
      <c r="BI90" s="227">
        <f t="shared" si="58"/>
        <v>9.17047623024924e-5</v>
      </c>
      <c r="BJ90" s="227"/>
      <c r="BK90" s="223"/>
      <c r="BL90" s="226"/>
      <c r="BM90" s="230"/>
      <c r="BN90" s="239"/>
      <c r="BO90" s="230"/>
      <c r="BP90" s="226"/>
      <c r="BQ90" s="226"/>
      <c r="BR90" s="226"/>
      <c r="BS90" s="226"/>
      <c r="BT90" s="226"/>
      <c r="BU90" s="226"/>
    </row>
    <row r="91" spans="60:73">
      <c r="BH91" s="229">
        <f t="shared" si="57"/>
        <v>1.64828</v>
      </c>
      <c r="BI91" s="227">
        <f t="shared" si="58"/>
        <v>0.000161707607067426</v>
      </c>
      <c r="BJ91" s="227"/>
      <c r="BK91" s="223"/>
      <c r="BL91" s="226"/>
      <c r="BM91" s="230"/>
      <c r="BN91" s="239"/>
      <c r="BO91" s="230"/>
      <c r="BP91" s="226"/>
      <c r="BQ91" s="226"/>
      <c r="BR91" s="226"/>
      <c r="BS91" s="226"/>
      <c r="BT91" s="226"/>
      <c r="BU91" s="226"/>
    </row>
    <row r="92" spans="60:73">
      <c r="BH92" s="229">
        <f t="shared" si="57"/>
        <v>1.64892</v>
      </c>
      <c r="BI92" s="227">
        <f t="shared" si="58"/>
        <v>0.00028140720154897</v>
      </c>
      <c r="BJ92" s="227"/>
      <c r="BK92" s="223"/>
      <c r="BL92" s="226"/>
      <c r="BM92" s="230"/>
      <c r="BN92" s="239"/>
      <c r="BO92" s="230"/>
      <c r="BP92" s="226"/>
      <c r="BQ92" s="226"/>
      <c r="BR92" s="226"/>
      <c r="BS92" s="226"/>
      <c r="BT92" s="226"/>
      <c r="BU92" s="226"/>
    </row>
    <row r="93" spans="60:73">
      <c r="BH93" s="229">
        <f t="shared" si="57"/>
        <v>1.64956</v>
      </c>
      <c r="BI93" s="227">
        <f t="shared" si="58"/>
        <v>0.000483288164996273</v>
      </c>
      <c r="BJ93" s="227"/>
      <c r="BK93" s="223"/>
      <c r="BL93" s="226"/>
      <c r="BM93" s="230"/>
      <c r="BN93" s="239"/>
      <c r="BO93" s="230"/>
      <c r="BP93" s="226"/>
      <c r="BQ93" s="226"/>
      <c r="BR93" s="226"/>
      <c r="BS93" s="226"/>
      <c r="BT93" s="226"/>
      <c r="BU93" s="226"/>
    </row>
    <row r="94" spans="60:73">
      <c r="BH94" s="229">
        <f t="shared" si="57"/>
        <v>1.6502</v>
      </c>
      <c r="BI94" s="227">
        <f t="shared" si="58"/>
        <v>0.000819112038065251</v>
      </c>
      <c r="BJ94" s="227"/>
      <c r="BK94" s="223"/>
      <c r="BL94" s="226"/>
      <c r="BM94" s="230"/>
      <c r="BN94" s="239"/>
      <c r="BO94" s="230"/>
      <c r="BP94" s="226"/>
      <c r="BQ94" s="226"/>
      <c r="BR94" s="226"/>
      <c r="BS94" s="226"/>
      <c r="BT94" s="226"/>
      <c r="BU94" s="226"/>
    </row>
    <row r="95" spans="60:73">
      <c r="BH95" s="229">
        <f t="shared" si="57"/>
        <v>1.65084</v>
      </c>
      <c r="BI95" s="227">
        <f t="shared" si="58"/>
        <v>0.00137008229122019</v>
      </c>
      <c r="BJ95" s="227"/>
      <c r="BK95" s="223"/>
      <c r="BL95" s="226"/>
      <c r="BM95" s="230"/>
      <c r="BN95" s="239"/>
      <c r="BO95" s="230"/>
      <c r="BP95" s="226"/>
      <c r="BQ95" s="226"/>
      <c r="BR95" s="226"/>
      <c r="BS95" s="226"/>
      <c r="BT95" s="226"/>
      <c r="BU95" s="226"/>
    </row>
    <row r="96" spans="60:73">
      <c r="BH96" s="229">
        <f t="shared" si="57"/>
        <v>1.65148</v>
      </c>
      <c r="BI96" s="227">
        <f t="shared" si="58"/>
        <v>0.0022616020710408</v>
      </c>
      <c r="BJ96" s="227"/>
      <c r="BK96" s="223"/>
      <c r="BL96" s="226"/>
      <c r="BM96" s="230"/>
      <c r="BN96" s="239"/>
      <c r="BO96" s="230"/>
      <c r="BP96" s="226"/>
      <c r="BQ96" s="226"/>
      <c r="BR96" s="226"/>
      <c r="BS96" s="226"/>
      <c r="BT96" s="226"/>
      <c r="BU96" s="226"/>
    </row>
    <row r="97" spans="60:73">
      <c r="BH97" s="229">
        <f t="shared" si="57"/>
        <v>1.65212</v>
      </c>
      <c r="BI97" s="227">
        <f t="shared" si="58"/>
        <v>0.00368427406770791</v>
      </c>
      <c r="BJ97" s="227"/>
      <c r="BK97" s="223"/>
      <c r="BL97" s="226"/>
      <c r="BM97" s="230"/>
      <c r="BN97" s="239"/>
      <c r="BO97" s="230"/>
      <c r="BP97" s="226"/>
      <c r="BQ97" s="226"/>
      <c r="BR97" s="226"/>
      <c r="BS97" s="226"/>
      <c r="BT97" s="226"/>
      <c r="BU97" s="226"/>
    </row>
    <row r="98" spans="60:73">
      <c r="BH98" s="229">
        <f t="shared" si="57"/>
        <v>1.65276</v>
      </c>
      <c r="BI98" s="227">
        <f t="shared" si="58"/>
        <v>0.00592316541370021</v>
      </c>
      <c r="BJ98" s="227"/>
      <c r="BK98" s="223"/>
      <c r="BL98" s="226"/>
      <c r="BM98" s="230"/>
      <c r="BN98" s="239"/>
      <c r="BO98" s="230"/>
      <c r="BP98" s="226"/>
      <c r="BQ98" s="226"/>
      <c r="BR98" s="226"/>
      <c r="BS98" s="226"/>
      <c r="BT98" s="226"/>
      <c r="BU98" s="226"/>
    </row>
    <row r="99" spans="60:73">
      <c r="BH99" s="229">
        <f t="shared" si="57"/>
        <v>1.6534</v>
      </c>
      <c r="BI99" s="227">
        <f t="shared" si="58"/>
        <v>0.00939770891249968</v>
      </c>
      <c r="BJ99" s="227"/>
      <c r="BK99" s="223"/>
      <c r="BL99" s="226"/>
      <c r="BM99" s="230"/>
      <c r="BN99" s="239"/>
      <c r="BO99" s="230"/>
      <c r="BP99" s="226"/>
      <c r="BQ99" s="226"/>
      <c r="BR99" s="226"/>
      <c r="BS99" s="226"/>
      <c r="BT99" s="226"/>
      <c r="BU99" s="226"/>
    </row>
    <row r="100" spans="60:73">
      <c r="BH100" s="229">
        <f t="shared" si="57"/>
        <v>1.65404</v>
      </c>
      <c r="BI100" s="227">
        <f t="shared" si="58"/>
        <v>0.0147148660322608</v>
      </c>
      <c r="BJ100" s="227"/>
      <c r="BK100" s="223"/>
      <c r="BL100" s="226"/>
      <c r="BM100" s="230"/>
      <c r="BN100" s="239"/>
      <c r="BO100" s="230"/>
      <c r="BP100" s="226"/>
      <c r="BQ100" s="226"/>
      <c r="BR100" s="226"/>
      <c r="BS100" s="226"/>
      <c r="BT100" s="226"/>
      <c r="BU100" s="226"/>
    </row>
    <row r="101" spans="60:73">
      <c r="BH101" s="229">
        <f t="shared" si="57"/>
        <v>1.65468</v>
      </c>
      <c r="BI101" s="227">
        <f t="shared" si="58"/>
        <v>0.0227382392602578</v>
      </c>
      <c r="BJ101" s="227"/>
      <c r="BK101" s="223"/>
      <c r="BL101" s="226"/>
      <c r="BM101" s="230"/>
      <c r="BN101" s="239"/>
      <c r="BO101" s="230"/>
      <c r="BP101" s="226"/>
      <c r="BQ101" s="226"/>
      <c r="BR101" s="226"/>
      <c r="BS101" s="226"/>
      <c r="BT101" s="226"/>
      <c r="BU101" s="226"/>
    </row>
    <row r="102" spans="60:73">
      <c r="BH102" s="229">
        <f t="shared" si="57"/>
        <v>1.65532</v>
      </c>
      <c r="BI102" s="227">
        <f t="shared" si="58"/>
        <v>0.0346755650897834</v>
      </c>
      <c r="BJ102" s="227">
        <f>MAX(BI20:BI183)</f>
        <v>23.8410215715575</v>
      </c>
      <c r="BK102" s="223"/>
      <c r="BL102" s="226"/>
      <c r="BM102" s="230"/>
      <c r="BN102" s="239"/>
      <c r="BO102" s="230"/>
      <c r="BP102" s="226"/>
      <c r="BQ102" s="226"/>
      <c r="BR102" s="226"/>
      <c r="BS102" s="226"/>
      <c r="BT102" s="226"/>
      <c r="BU102" s="226"/>
    </row>
    <row r="103" spans="60:73">
      <c r="BH103" s="229">
        <f t="shared" si="57"/>
        <v>1.65596</v>
      </c>
      <c r="BI103" s="227">
        <f t="shared" si="58"/>
        <v>0.0521862942172918</v>
      </c>
      <c r="BJ103" s="227"/>
      <c r="BK103" s="223"/>
      <c r="BL103" s="226"/>
      <c r="BM103" s="230"/>
      <c r="BN103" s="239"/>
      <c r="BO103" s="230"/>
      <c r="BP103" s="226"/>
      <c r="BQ103" s="226"/>
      <c r="BR103" s="226"/>
      <c r="BS103" s="226"/>
      <c r="BT103" s="226"/>
      <c r="BU103" s="226"/>
    </row>
    <row r="104" spans="60:73">
      <c r="BH104" s="229">
        <f t="shared" si="57"/>
        <v>1.6566</v>
      </c>
      <c r="BI104" s="227">
        <f t="shared" si="58"/>
        <v>0.0775096124484811</v>
      </c>
      <c r="BJ104" s="227"/>
      <c r="BK104" s="223"/>
      <c r="BL104" s="226"/>
      <c r="BM104" s="230"/>
      <c r="BN104" s="239"/>
      <c r="BO104" s="230"/>
      <c r="BP104" s="226"/>
      <c r="BQ104" s="226"/>
      <c r="BR104" s="226"/>
      <c r="BS104" s="226"/>
      <c r="BT104" s="226"/>
      <c r="BU104" s="226"/>
    </row>
    <row r="105" spans="60:73">
      <c r="BH105" s="229">
        <f t="shared" ref="BH105:BH136" si="59">BH104+$BQ$12</f>
        <v>1.65724</v>
      </c>
      <c r="BI105" s="227">
        <f t="shared" si="58"/>
        <v>0.113611127067032</v>
      </c>
      <c r="BJ105" s="227"/>
      <c r="BK105" s="223"/>
      <c r="BL105" s="226"/>
      <c r="BM105" s="230"/>
      <c r="BN105" s="239"/>
      <c r="BO105" s="230"/>
      <c r="BP105" s="226"/>
      <c r="BQ105" s="226"/>
      <c r="BR105" s="226"/>
      <c r="BS105" s="226"/>
      <c r="BT105" s="226"/>
      <c r="BU105" s="226"/>
    </row>
    <row r="106" spans="60:73">
      <c r="BH106" s="229">
        <f t="shared" si="59"/>
        <v>1.65788</v>
      </c>
      <c r="BI106" s="227">
        <f t="shared" si="58"/>
        <v>0.164343437586826</v>
      </c>
      <c r="BJ106" s="227"/>
      <c r="BK106" s="223"/>
      <c r="BL106" s="226"/>
      <c r="BM106" s="230"/>
      <c r="BN106" s="239"/>
      <c r="BO106" s="230"/>
      <c r="BP106" s="226"/>
      <c r="BQ106" s="226"/>
      <c r="BR106" s="226"/>
      <c r="BS106" s="226"/>
      <c r="BT106" s="226"/>
      <c r="BU106" s="226"/>
    </row>
    <row r="107" spans="60:73">
      <c r="BH107" s="229">
        <f t="shared" si="59"/>
        <v>1.65852</v>
      </c>
      <c r="BI107" s="227">
        <f t="shared" si="58"/>
        <v>0.234611913387054</v>
      </c>
      <c r="BJ107" s="227"/>
      <c r="BK107" s="223"/>
      <c r="BL107" s="226"/>
      <c r="BM107" s="230"/>
      <c r="BN107" s="239"/>
      <c r="BO107" s="230"/>
      <c r="BP107" s="226"/>
      <c r="BQ107" s="226"/>
      <c r="BR107" s="226"/>
      <c r="BS107" s="226"/>
      <c r="BT107" s="226"/>
      <c r="BU107" s="226"/>
    </row>
    <row r="108" spans="60:73">
      <c r="BH108" s="229">
        <f t="shared" si="59"/>
        <v>1.65916</v>
      </c>
      <c r="BI108" s="227">
        <f t="shared" si="58"/>
        <v>0.330532335118348</v>
      </c>
      <c r="BJ108" s="227"/>
      <c r="BK108" s="223"/>
      <c r="BL108" s="226"/>
      <c r="BM108" s="230"/>
      <c r="BN108" s="239"/>
      <c r="BO108" s="230"/>
      <c r="BP108" s="226"/>
      <c r="BQ108" s="226"/>
      <c r="BR108" s="226"/>
      <c r="BS108" s="226"/>
      <c r="BT108" s="226"/>
      <c r="BU108" s="226"/>
    </row>
    <row r="109" spans="60:73">
      <c r="BH109" s="229">
        <f t="shared" si="59"/>
        <v>1.6598</v>
      </c>
      <c r="BI109" s="227">
        <f t="shared" si="58"/>
        <v>0.459561922969235</v>
      </c>
      <c r="BJ109" s="227"/>
      <c r="BK109" s="223"/>
      <c r="BL109" s="226"/>
      <c r="BM109" s="230"/>
      <c r="BN109" s="239"/>
      <c r="BO109" s="230"/>
      <c r="BP109" s="226"/>
      <c r="BQ109" s="226"/>
      <c r="BR109" s="226"/>
      <c r="BS109" s="226"/>
      <c r="BT109" s="226"/>
      <c r="BU109" s="226"/>
    </row>
    <row r="110" spans="60:73">
      <c r="BH110" s="229">
        <f t="shared" si="59"/>
        <v>1.66044</v>
      </c>
      <c r="BI110" s="227">
        <f t="shared" si="58"/>
        <v>0.630580185682877</v>
      </c>
      <c r="BJ110" s="227"/>
      <c r="BK110" s="223"/>
      <c r="BL110" s="226"/>
      <c r="BM110" s="230"/>
      <c r="BN110" s="239"/>
      <c r="BO110" s="230"/>
      <c r="BP110" s="226"/>
      <c r="BQ110" s="226"/>
      <c r="BR110" s="226"/>
      <c r="BS110" s="226"/>
      <c r="BT110" s="226"/>
      <c r="BU110" s="226"/>
    </row>
    <row r="111" spans="60:73">
      <c r="BH111" s="229">
        <f t="shared" si="59"/>
        <v>1.66108</v>
      </c>
      <c r="BI111" s="227">
        <f t="shared" si="58"/>
        <v>0.853891711452943</v>
      </c>
      <c r="BJ111" s="227"/>
      <c r="BK111" s="223"/>
      <c r="BL111" s="226"/>
      <c r="BM111" s="230"/>
      <c r="BN111" s="239"/>
      <c r="BO111" s="230"/>
      <c r="BP111" s="226"/>
      <c r="BQ111" s="226"/>
      <c r="BR111" s="226"/>
      <c r="BS111" s="226"/>
      <c r="BT111" s="226"/>
      <c r="BU111" s="226"/>
    </row>
    <row r="112" spans="60:73">
      <c r="BH112" s="229">
        <f t="shared" si="59"/>
        <v>1.66172</v>
      </c>
      <c r="BI112" s="227">
        <f t="shared" si="58"/>
        <v>1.14112040611271</v>
      </c>
      <c r="BJ112" s="227"/>
      <c r="BK112" s="223"/>
      <c r="BL112" s="226"/>
      <c r="BM112" s="230"/>
      <c r="BN112" s="239"/>
      <c r="BO112" s="230"/>
      <c r="BP112" s="226"/>
      <c r="BQ112" s="226"/>
      <c r="BR112" s="226"/>
      <c r="BS112" s="226"/>
      <c r="BT112" s="226"/>
      <c r="BU112" s="226"/>
    </row>
    <row r="113" spans="60:73">
      <c r="BH113" s="229">
        <f t="shared" si="59"/>
        <v>1.66236</v>
      </c>
      <c r="BI113" s="227">
        <f t="shared" si="58"/>
        <v>1.5049647968385</v>
      </c>
      <c r="BJ113" s="227"/>
      <c r="BK113" s="223"/>
      <c r="BL113" s="226"/>
      <c r="BM113" s="230"/>
      <c r="BN113" s="239"/>
      <c r="BO113" s="230"/>
      <c r="BP113" s="226"/>
      <c r="BQ113" s="226"/>
      <c r="BR113" s="226"/>
      <c r="BS113" s="226"/>
      <c r="BT113" s="226"/>
      <c r="BU113" s="226"/>
    </row>
    <row r="114" spans="60:73">
      <c r="BH114" s="229">
        <f t="shared" si="59"/>
        <v>1.663</v>
      </c>
      <c r="BI114" s="227">
        <f t="shared" si="58"/>
        <v>1.95878787366233</v>
      </c>
      <c r="BJ114" s="227"/>
      <c r="BK114" s="223"/>
      <c r="BL114" s="226"/>
      <c r="BM114" s="230"/>
      <c r="BN114" s="239"/>
      <c r="BO114" s="230"/>
      <c r="BP114" s="226"/>
      <c r="BQ114" s="226"/>
      <c r="BR114" s="226"/>
      <c r="BS114" s="226"/>
      <c r="BT114" s="226"/>
      <c r="BU114" s="226"/>
    </row>
    <row r="115" spans="60:73">
      <c r="BH115" s="229">
        <f t="shared" si="59"/>
        <v>1.66364</v>
      </c>
      <c r="BI115" s="227">
        <f t="shared" si="58"/>
        <v>2.5160233544407</v>
      </c>
      <c r="BJ115" s="227"/>
      <c r="BK115" s="223"/>
      <c r="BL115" s="226"/>
      <c r="BM115" s="230"/>
      <c r="BN115" s="239"/>
      <c r="BO115" s="230"/>
      <c r="BP115" s="226"/>
      <c r="BQ115" s="226"/>
      <c r="BR115" s="226"/>
      <c r="BS115" s="226"/>
      <c r="BT115" s="226"/>
      <c r="BU115" s="226"/>
    </row>
    <row r="116" spans="60:73">
      <c r="BH116" s="229">
        <f t="shared" si="59"/>
        <v>1.66428</v>
      </c>
      <c r="BI116" s="227">
        <f t="shared" si="58"/>
        <v>3.18939364957363</v>
      </c>
      <c r="BJ116" s="227"/>
      <c r="BK116" s="223"/>
      <c r="BL116" s="226"/>
      <c r="BM116" s="230"/>
      <c r="BN116" s="239"/>
      <c r="BO116" s="230"/>
      <c r="BP116" s="226"/>
      <c r="BQ116" s="226"/>
      <c r="BR116" s="226"/>
      <c r="BS116" s="226"/>
      <c r="BT116" s="226"/>
      <c r="BU116" s="226"/>
    </row>
    <row r="117" spans="60:73">
      <c r="BH117" s="229">
        <f t="shared" si="59"/>
        <v>1.66492</v>
      </c>
      <c r="BI117" s="227">
        <f t="shared" ref="BI117:BI148" si="60">NORMDIST(BH117,AVERAGE($C$6:$AA$10),STDEV($C$6:$AA$10),0)/3</f>
        <v>3.98995298376546</v>
      </c>
      <c r="BJ117" s="227"/>
      <c r="BK117" s="223"/>
      <c r="BL117" s="226"/>
      <c r="BM117" s="230"/>
      <c r="BN117" s="239"/>
      <c r="BO117" s="230"/>
      <c r="BP117" s="226"/>
      <c r="BQ117" s="226"/>
      <c r="BR117" s="226"/>
      <c r="BS117" s="226"/>
      <c r="BT117" s="226"/>
      <c r="BU117" s="226"/>
    </row>
    <row r="118" spans="60:73">
      <c r="BH118" s="229">
        <f t="shared" si="59"/>
        <v>1.66556</v>
      </c>
      <c r="BI118" s="227">
        <f t="shared" si="60"/>
        <v>4.92599114666918</v>
      </c>
      <c r="BJ118" s="227"/>
      <c r="BK118" s="223"/>
      <c r="BL118" s="226"/>
      <c r="BM118" s="230"/>
      <c r="BN118" s="239"/>
      <c r="BO118" s="230"/>
      <c r="BP118" s="226"/>
      <c r="BQ118" s="226"/>
      <c r="BR118" s="226"/>
      <c r="BS118" s="226"/>
      <c r="BT118" s="226"/>
      <c r="BU118" s="226"/>
    </row>
    <row r="119" spans="60:73">
      <c r="BH119" s="229">
        <f t="shared" si="59"/>
        <v>1.6662</v>
      </c>
      <c r="BI119" s="227">
        <f t="shared" si="60"/>
        <v>6.00185738550846</v>
      </c>
      <c r="BJ119" s="227"/>
      <c r="BK119" s="223"/>
      <c r="BL119" s="226"/>
      <c r="BM119" s="230"/>
      <c r="BN119" s="239"/>
      <c r="BO119" s="230"/>
      <c r="BP119" s="226"/>
      <c r="BQ119" s="226"/>
      <c r="BR119" s="226"/>
      <c r="BS119" s="226"/>
      <c r="BT119" s="226"/>
      <c r="BU119" s="226"/>
    </row>
    <row r="120" spans="60:73">
      <c r="BH120" s="229">
        <f t="shared" si="59"/>
        <v>1.66684</v>
      </c>
      <c r="BI120" s="227">
        <f t="shared" si="60"/>
        <v>7.2167874094701</v>
      </c>
      <c r="BJ120" s="229"/>
      <c r="BK120" s="220"/>
      <c r="BL120" s="226"/>
      <c r="BM120" s="220"/>
      <c r="BN120" s="220"/>
      <c r="BO120" s="220"/>
      <c r="BP120" s="220"/>
      <c r="BQ120" s="220"/>
      <c r="BR120" s="220"/>
      <c r="BS120" s="220"/>
      <c r="BT120" s="220"/>
      <c r="BU120" s="220"/>
    </row>
    <row r="121" spans="60:73">
      <c r="BH121" s="229">
        <f t="shared" si="59"/>
        <v>1.66748</v>
      </c>
      <c r="BI121" s="227">
        <f t="shared" si="60"/>
        <v>8.56383613126962</v>
      </c>
      <c r="BJ121" s="229"/>
      <c r="BK121" s="220"/>
      <c r="BL121" s="226"/>
      <c r="BM121" s="220"/>
      <c r="BN121" s="220"/>
      <c r="BO121" s="220"/>
      <c r="BP121" s="220"/>
      <c r="BQ121" s="220"/>
      <c r="BR121" s="220"/>
      <c r="BS121" s="220"/>
      <c r="BT121" s="220"/>
      <c r="BU121" s="220"/>
    </row>
    <row r="122" spans="60:73">
      <c r="BH122" s="229">
        <f t="shared" si="59"/>
        <v>1.66812</v>
      </c>
      <c r="BI122" s="227">
        <f t="shared" si="60"/>
        <v>10.0290311607661</v>
      </c>
      <c r="BJ122" s="229"/>
      <c r="BK122" s="220"/>
      <c r="BL122" s="226"/>
      <c r="BM122" s="220"/>
      <c r="BN122" s="220"/>
      <c r="BO122" s="220"/>
      <c r="BP122" s="220"/>
      <c r="BQ122" s="220"/>
      <c r="BR122" s="220"/>
      <c r="BS122" s="220"/>
      <c r="BT122" s="220"/>
      <c r="BU122" s="220"/>
    </row>
    <row r="123" spans="60:73">
      <c r="BH123" s="229">
        <f t="shared" si="59"/>
        <v>1.66876</v>
      </c>
      <c r="BI123" s="227">
        <f t="shared" si="60"/>
        <v>11.5908639631751</v>
      </c>
      <c r="BJ123" s="229"/>
      <c r="BK123" s="220"/>
      <c r="BL123" s="226"/>
      <c r="BM123" s="220"/>
      <c r="BN123" s="220"/>
      <c r="BO123" s="220"/>
      <c r="BP123" s="220"/>
      <c r="BQ123" s="220"/>
      <c r="BR123" s="220"/>
      <c r="BS123" s="220"/>
      <c r="BT123" s="220"/>
      <c r="BU123" s="220"/>
    </row>
    <row r="124" spans="60:73">
      <c r="BH124" s="229">
        <f t="shared" si="59"/>
        <v>1.6694</v>
      </c>
      <c r="BI124" s="227">
        <f t="shared" si="60"/>
        <v>13.2202245736841</v>
      </c>
      <c r="BJ124" s="229"/>
      <c r="BK124" s="220"/>
      <c r="BL124" s="226"/>
      <c r="BM124" s="220"/>
      <c r="BN124" s="220"/>
      <c r="BO124" s="220"/>
      <c r="BP124" s="220"/>
      <c r="BQ124" s="220"/>
      <c r="BR124" s="220"/>
      <c r="BS124" s="220"/>
      <c r="BT124" s="220"/>
      <c r="BU124" s="220"/>
    </row>
    <row r="125" spans="60:73">
      <c r="BH125" s="229">
        <f t="shared" si="59"/>
        <v>1.67004</v>
      </c>
      <c r="BI125" s="227">
        <f t="shared" si="60"/>
        <v>14.8808607376633</v>
      </c>
      <c r="BJ125" s="229"/>
      <c r="BK125" s="220"/>
      <c r="BL125" s="226"/>
      <c r="BM125" s="220"/>
      <c r="BN125" s="220"/>
      <c r="BO125" s="220"/>
      <c r="BP125" s="220"/>
      <c r="BQ125" s="220"/>
      <c r="BR125" s="220"/>
      <c r="BS125" s="220"/>
      <c r="BT125" s="220"/>
      <c r="BU125" s="220"/>
    </row>
    <row r="126" spans="60:73">
      <c r="BH126" s="229">
        <f t="shared" si="59"/>
        <v>1.67068</v>
      </c>
      <c r="BI126" s="227">
        <f t="shared" si="60"/>
        <v>16.5304040064964</v>
      </c>
      <c r="BJ126" s="229"/>
      <c r="BK126" s="220"/>
      <c r="BL126" s="226"/>
      <c r="BM126" s="220"/>
      <c r="BN126" s="220"/>
      <c r="BO126" s="220"/>
      <c r="BP126" s="220"/>
      <c r="BQ126" s="220"/>
      <c r="BR126" s="220"/>
      <c r="BS126" s="220"/>
      <c r="BT126" s="220"/>
      <c r="BU126" s="220"/>
    </row>
    <row r="127" spans="60:73">
      <c r="BH127" s="229">
        <f t="shared" si="59"/>
        <v>1.67132</v>
      </c>
      <c r="BI127" s="227">
        <f t="shared" si="60"/>
        <v>18.1219563242124</v>
      </c>
      <c r="BJ127" s="229"/>
      <c r="BK127" s="220"/>
      <c r="BL127" s="226"/>
      <c r="BM127" s="220"/>
      <c r="BN127" s="220"/>
      <c r="BO127" s="220"/>
      <c r="BP127" s="220"/>
      <c r="BQ127" s="220"/>
      <c r="BR127" s="220"/>
      <c r="BS127" s="220"/>
      <c r="BT127" s="220"/>
      <c r="BU127" s="220"/>
    </row>
    <row r="128" spans="60:73">
      <c r="BH128" s="229">
        <f t="shared" si="59"/>
        <v>1.67196</v>
      </c>
      <c r="BI128" s="227">
        <f t="shared" si="60"/>
        <v>19.6061755381633</v>
      </c>
      <c r="BJ128" s="229"/>
      <c r="BK128" s="220"/>
      <c r="BL128" s="226"/>
      <c r="BM128" s="220"/>
      <c r="BN128" s="220"/>
      <c r="BO128" s="220"/>
      <c r="BP128" s="220"/>
      <c r="BQ128" s="220"/>
      <c r="BR128" s="220"/>
      <c r="BS128" s="220"/>
      <c r="BT128" s="220"/>
      <c r="BU128" s="220"/>
    </row>
    <row r="129" spans="60:73">
      <c r="BH129" s="229">
        <f t="shared" si="59"/>
        <v>1.6726</v>
      </c>
      <c r="BI129" s="227">
        <f t="shared" si="60"/>
        <v>20.9337430800568</v>
      </c>
      <c r="BJ129" s="229"/>
      <c r="BK129" s="220"/>
      <c r="BL129" s="226"/>
      <c r="BM129" s="220"/>
      <c r="BN129" s="220"/>
      <c r="BO129" s="220"/>
      <c r="BP129" s="220"/>
      <c r="BQ129" s="220"/>
      <c r="BR129" s="220"/>
      <c r="BS129" s="220"/>
      <c r="BT129" s="220"/>
      <c r="BU129" s="220"/>
    </row>
    <row r="130" spans="60:73">
      <c r="BH130" s="229">
        <f t="shared" si="59"/>
        <v>1.67324</v>
      </c>
      <c r="BI130" s="227">
        <f t="shared" si="60"/>
        <v>22.0580485731134</v>
      </c>
      <c r="BJ130" s="229"/>
      <c r="BK130" s="220"/>
      <c r="BL130" s="226"/>
      <c r="BM130" s="220"/>
      <c r="BN130" s="220"/>
      <c r="BO130" s="220"/>
      <c r="BP130" s="220"/>
      <c r="BQ130" s="220"/>
      <c r="BR130" s="220"/>
      <c r="BS130" s="220"/>
      <c r="BT130" s="220"/>
      <c r="BU130" s="220"/>
    </row>
    <row r="131" spans="60:73">
      <c r="BH131" s="229">
        <f t="shared" si="59"/>
        <v>1.67388</v>
      </c>
      <c r="BI131" s="227">
        <f t="shared" si="60"/>
        <v>22.9378909408976</v>
      </c>
      <c r="BJ131" s="229"/>
      <c r="BK131" s="240"/>
      <c r="BL131" s="226"/>
      <c r="BM131" s="220"/>
      <c r="BN131" s="220"/>
      <c r="BO131" s="220"/>
      <c r="BP131" s="220"/>
      <c r="BQ131" s="220"/>
      <c r="BR131" s="220"/>
      <c r="BS131" s="220"/>
      <c r="BT131" s="220"/>
      <c r="BU131" s="220"/>
    </row>
    <row r="132" spans="60:73">
      <c r="BH132" s="229">
        <f t="shared" si="59"/>
        <v>1.67452</v>
      </c>
      <c r="BI132" s="227">
        <f t="shared" si="60"/>
        <v>23.5399791689683</v>
      </c>
      <c r="BJ132" s="229"/>
      <c r="BK132" s="220"/>
      <c r="BL132" s="226"/>
      <c r="BM132" s="220"/>
      <c r="BN132" s="220"/>
      <c r="BO132" s="220"/>
      <c r="BP132" s="220"/>
      <c r="BQ132" s="220"/>
      <c r="BR132" s="220"/>
      <c r="BS132" s="220"/>
      <c r="BT132" s="220"/>
      <c r="BU132" s="220"/>
    </row>
    <row r="133" spans="60:64">
      <c r="BH133" s="229">
        <f t="shared" si="59"/>
        <v>1.67516</v>
      </c>
      <c r="BI133" s="227">
        <f t="shared" si="60"/>
        <v>23.8410215715575</v>
      </c>
      <c r="BJ133" s="229"/>
      <c r="BL133" s="226"/>
    </row>
    <row r="134" spans="60:64">
      <c r="BH134" s="229">
        <f t="shared" si="59"/>
        <v>1.6758</v>
      </c>
      <c r="BI134" s="227">
        <f t="shared" si="60"/>
        <v>23.829220887918</v>
      </c>
      <c r="BJ134" s="229"/>
      <c r="BL134" s="226"/>
    </row>
    <row r="135" spans="60:64">
      <c r="BH135" s="229">
        <f t="shared" si="59"/>
        <v>1.67644</v>
      </c>
      <c r="BI135" s="227">
        <f t="shared" si="60"/>
        <v>23.5050414414257</v>
      </c>
      <c r="BJ135" s="229"/>
      <c r="BL135" s="226"/>
    </row>
    <row r="136" spans="60:64">
      <c r="BH136" s="229">
        <f t="shared" si="59"/>
        <v>1.67708</v>
      </c>
      <c r="BI136" s="227">
        <f t="shared" si="60"/>
        <v>22.8811788230259</v>
      </c>
      <c r="BJ136" s="229"/>
      <c r="BL136" s="226"/>
    </row>
    <row r="137" spans="60:64">
      <c r="BH137" s="229">
        <f t="shared" ref="BH137:BH164" si="61">BH136+$BQ$12</f>
        <v>1.67772</v>
      </c>
      <c r="BI137" s="227">
        <f t="shared" si="60"/>
        <v>21.9817348581377</v>
      </c>
      <c r="BJ137" s="229"/>
      <c r="BL137" s="226"/>
    </row>
    <row r="138" spans="60:64">
      <c r="BH138" s="229">
        <f t="shared" si="61"/>
        <v>1.67836</v>
      </c>
      <c r="BI138" s="227">
        <f t="shared" si="60"/>
        <v>20.8406725921994</v>
      </c>
      <c r="BJ138" s="229"/>
      <c r="BL138" s="226"/>
    </row>
    <row r="139" spans="60:64">
      <c r="BH139" s="229">
        <f t="shared" si="61"/>
        <v>1.679</v>
      </c>
      <c r="BI139" s="227">
        <f t="shared" si="60"/>
        <v>19.4996893397754</v>
      </c>
      <c r="BJ139" s="229"/>
      <c r="BL139" s="226"/>
    </row>
    <row r="140" spans="60:64">
      <c r="BH140" s="229">
        <f t="shared" si="61"/>
        <v>1.67964</v>
      </c>
      <c r="BI140" s="227">
        <f t="shared" si="60"/>
        <v>18.0056933636204</v>
      </c>
      <c r="BJ140" s="229"/>
      <c r="BL140" s="226"/>
    </row>
    <row r="141" spans="60:64">
      <c r="BH141" s="229">
        <f t="shared" si="61"/>
        <v>1.68028</v>
      </c>
      <c r="BI141" s="227">
        <f t="shared" si="60"/>
        <v>16.4080965586519</v>
      </c>
      <c r="BJ141" s="229"/>
      <c r="BL141" s="226"/>
    </row>
    <row r="142" spans="60:64">
      <c r="BH142" s="229">
        <f t="shared" si="61"/>
        <v>1.68092</v>
      </c>
      <c r="BI142" s="227">
        <f t="shared" si="60"/>
        <v>14.7561394985551</v>
      </c>
      <c r="BJ142" s="229"/>
      <c r="BL142" s="226"/>
    </row>
    <row r="143" spans="60:64">
      <c r="BH143" s="229">
        <f t="shared" si="61"/>
        <v>1.68156</v>
      </c>
      <c r="BI143" s="227">
        <f t="shared" si="60"/>
        <v>13.0964472242529</v>
      </c>
      <c r="BJ143" s="229"/>
      <c r="BL143" s="226"/>
    </row>
    <row r="144" spans="60:64">
      <c r="BH144" s="229">
        <f t="shared" si="61"/>
        <v>1.6822</v>
      </c>
      <c r="BI144" s="227">
        <f t="shared" si="60"/>
        <v>11.4709777657005</v>
      </c>
      <c r="BJ144" s="229"/>
      <c r="BL144" s="226"/>
    </row>
    <row r="145" spans="60:64">
      <c r="BH145" s="229">
        <f t="shared" si="61"/>
        <v>1.68284</v>
      </c>
      <c r="BI145" s="227">
        <f t="shared" si="60"/>
        <v>9.91547615819269</v>
      </c>
      <c r="BJ145" s="229"/>
      <c r="BL145" s="226"/>
    </row>
    <row r="146" spans="60:64">
      <c r="BH146" s="229">
        <f t="shared" si="61"/>
        <v>1.68348</v>
      </c>
      <c r="BI146" s="227">
        <f t="shared" si="60"/>
        <v>8.45849130285801</v>
      </c>
      <c r="BJ146" s="229"/>
      <c r="BL146" s="226"/>
    </row>
    <row r="147" spans="60:64">
      <c r="BH147" s="229">
        <f t="shared" si="61"/>
        <v>1.68412</v>
      </c>
      <c r="BI147" s="227">
        <f t="shared" si="60"/>
        <v>7.12095818293255</v>
      </c>
      <c r="BJ147" s="229"/>
      <c r="BL147" s="226"/>
    </row>
    <row r="148" spans="60:64">
      <c r="BH148" s="229">
        <f t="shared" si="61"/>
        <v>1.68476</v>
      </c>
      <c r="BI148" s="227">
        <f t="shared" si="60"/>
        <v>5.91629961575734</v>
      </c>
      <c r="BJ148" s="229"/>
      <c r="BL148" s="226"/>
    </row>
    <row r="149" spans="60:64">
      <c r="BH149" s="229">
        <f t="shared" si="61"/>
        <v>1.6854</v>
      </c>
      <c r="BI149" s="227">
        <f t="shared" ref="BI149:BI164" si="62">NORMDIST(BH149,AVERAGE($C$6:$AA$10),STDEV($C$6:$AA$10),0)/3</f>
        <v>4.85096431254341</v>
      </c>
      <c r="BJ149" s="229"/>
      <c r="BL149" s="226"/>
    </row>
    <row r="150" spans="60:64">
      <c r="BH150" s="229">
        <f t="shared" si="61"/>
        <v>1.68604</v>
      </c>
      <c r="BI150" s="227">
        <f t="shared" si="62"/>
        <v>3.9252940455831</v>
      </c>
      <c r="BJ150" s="229"/>
      <c r="BL150" s="226"/>
    </row>
    <row r="151" spans="60:64">
      <c r="BH151" s="229">
        <f t="shared" si="61"/>
        <v>1.68668</v>
      </c>
      <c r="BI151" s="227">
        <f t="shared" si="62"/>
        <v>3.13460272796776</v>
      </c>
      <c r="BJ151" s="229"/>
      <c r="BL151" s="226"/>
    </row>
    <row r="152" spans="60:64">
      <c r="BH152" s="229">
        <f t="shared" si="61"/>
        <v>1.68732</v>
      </c>
      <c r="BI152" s="227">
        <f t="shared" si="62"/>
        <v>2.47035299294907</v>
      </c>
      <c r="BJ152" s="229"/>
      <c r="BL152" s="226"/>
    </row>
    <row r="153" spans="60:64">
      <c r="BH153" s="229">
        <f t="shared" si="61"/>
        <v>1.68796</v>
      </c>
      <c r="BI153" s="227">
        <f t="shared" si="62"/>
        <v>1.92132891264337</v>
      </c>
      <c r="BJ153" s="229"/>
      <c r="BL153" s="226"/>
    </row>
    <row r="154" spans="60:64">
      <c r="BH154" s="229">
        <f t="shared" si="61"/>
        <v>1.6886</v>
      </c>
      <c r="BI154" s="227">
        <f t="shared" si="62"/>
        <v>1.47472355622254</v>
      </c>
      <c r="BJ154" s="229"/>
      <c r="BL154" s="226"/>
    </row>
    <row r="155" spans="60:64">
      <c r="BH155" s="229">
        <f t="shared" si="61"/>
        <v>1.68924</v>
      </c>
      <c r="BI155" s="227">
        <f t="shared" si="62"/>
        <v>1.11708369408255</v>
      </c>
      <c r="BJ155" s="229"/>
      <c r="BL155" s="226"/>
    </row>
    <row r="156" spans="60:64">
      <c r="BH156" s="229">
        <f t="shared" si="61"/>
        <v>1.68988</v>
      </c>
      <c r="BI156" s="227">
        <f t="shared" si="62"/>
        <v>0.835077925100085</v>
      </c>
      <c r="BJ156" s="229"/>
      <c r="BL156" s="226"/>
    </row>
    <row r="157" spans="60:64">
      <c r="BH157" s="229">
        <f t="shared" si="61"/>
        <v>1.69052</v>
      </c>
      <c r="BI157" s="227">
        <f t="shared" si="62"/>
        <v>0.616076283148193</v>
      </c>
      <c r="BJ157" s="229"/>
      <c r="BL157" s="226"/>
    </row>
    <row r="158" spans="60:64">
      <c r="BH158" s="229">
        <f t="shared" si="61"/>
        <v>1.69116</v>
      </c>
      <c r="BI158" s="227">
        <f t="shared" si="62"/>
        <v>0.44854722363848</v>
      </c>
      <c r="BJ158" s="229"/>
      <c r="BL158" s="226"/>
    </row>
    <row r="159" spans="60:64">
      <c r="BH159" s="229">
        <f t="shared" si="61"/>
        <v>1.6918</v>
      </c>
      <c r="BI159" s="227">
        <f t="shared" si="62"/>
        <v>0.322290906033757</v>
      </c>
      <c r="BJ159" s="229"/>
      <c r="BL159" s="226"/>
    </row>
    <row r="160" spans="60:64">
      <c r="BH160" s="229">
        <f t="shared" si="61"/>
        <v>1.69244</v>
      </c>
      <c r="BI160" s="227">
        <f t="shared" si="62"/>
        <v>0.228535738938733</v>
      </c>
      <c r="BJ160" s="229"/>
      <c r="BL160" s="226"/>
    </row>
    <row r="161" spans="60:64">
      <c r="BH161" s="229">
        <f t="shared" si="61"/>
        <v>1.69308</v>
      </c>
      <c r="BI161" s="227">
        <f t="shared" si="62"/>
        <v>0.15992869587538</v>
      </c>
      <c r="BJ161" s="229"/>
      <c r="BL161" s="226"/>
    </row>
    <row r="162" spans="60:64">
      <c r="BH162" s="229">
        <f t="shared" si="61"/>
        <v>1.69372</v>
      </c>
      <c r="BI162" s="227">
        <f t="shared" si="62"/>
        <v>0.11044978170344</v>
      </c>
      <c r="BJ162" s="229"/>
      <c r="BL162" s="226"/>
    </row>
    <row r="163" spans="60:64">
      <c r="BH163" s="229">
        <f t="shared" si="61"/>
        <v>1.69436</v>
      </c>
      <c r="BI163" s="227">
        <f t="shared" si="62"/>
        <v>0.0752782516044902</v>
      </c>
      <c r="BJ163" s="229"/>
      <c r="BL163" s="226"/>
    </row>
    <row r="164" spans="60:62">
      <c r="BH164" s="229">
        <f t="shared" si="61"/>
        <v>1.695</v>
      </c>
      <c r="BI164" s="227">
        <f t="shared" si="62"/>
        <v>0.0506337836280916</v>
      </c>
      <c r="BJ164" s="229">
        <f>MAX(BI20:BI183)*0.8</f>
        <v>19.072817257246</v>
      </c>
    </row>
    <row r="165" spans="60:62">
      <c r="BH165" s="229">
        <f t="shared" ref="BH165:BH201" si="63">BH164+$BQ$12</f>
        <v>1.69564</v>
      </c>
      <c r="BI165" s="227">
        <f t="shared" ref="BI165:BI201" si="64">NORMDIST(BH165,AVERAGE($C$6:$AA$10),STDEV($C$6:$AA$10),0)/3</f>
        <v>0.0336106905177618</v>
      </c>
      <c r="BJ165" s="241"/>
    </row>
    <row r="166" spans="60:62">
      <c r="BH166" s="229">
        <f t="shared" si="63"/>
        <v>1.69628</v>
      </c>
      <c r="BI166" s="227">
        <f t="shared" si="64"/>
        <v>0.0220181428159932</v>
      </c>
      <c r="BJ166" s="241"/>
    </row>
    <row r="167" spans="60:62">
      <c r="BH167" s="229">
        <f t="shared" si="63"/>
        <v>1.69692</v>
      </c>
      <c r="BI167" s="227">
        <f t="shared" si="64"/>
        <v>0.0142347593547243</v>
      </c>
      <c r="BJ167" s="241"/>
    </row>
    <row r="168" spans="60:62">
      <c r="BH168" s="229">
        <f t="shared" si="63"/>
        <v>1.69756</v>
      </c>
      <c r="BI168" s="227">
        <f t="shared" si="64"/>
        <v>0.00908208936009044</v>
      </c>
      <c r="BJ168" s="241"/>
    </row>
    <row r="169" spans="60:62">
      <c r="BH169" s="229">
        <f t="shared" si="63"/>
        <v>1.6982</v>
      </c>
      <c r="BI169" s="227">
        <f t="shared" si="64"/>
        <v>0.00571857218589989</v>
      </c>
      <c r="BJ169" s="241"/>
    </row>
    <row r="170" spans="60:62">
      <c r="BH170" s="229">
        <f t="shared" si="63"/>
        <v>1.69884</v>
      </c>
      <c r="BI170" s="227">
        <f t="shared" si="64"/>
        <v>0.00355349444100571</v>
      </c>
      <c r="BJ170" s="241"/>
    </row>
    <row r="171" spans="60:62">
      <c r="BH171" s="229">
        <f t="shared" si="63"/>
        <v>1.69948</v>
      </c>
      <c r="BI171" s="227">
        <f t="shared" si="64"/>
        <v>0.00217916376564432</v>
      </c>
      <c r="BJ171" s="241"/>
    </row>
    <row r="172" spans="60:62">
      <c r="BH172" s="229">
        <f t="shared" si="63"/>
        <v>1.70012</v>
      </c>
      <c r="BI172" s="227">
        <f t="shared" si="64"/>
        <v>0.00131883448158142</v>
      </c>
      <c r="BJ172" s="241"/>
    </row>
    <row r="173" spans="60:62">
      <c r="BH173" s="229">
        <f t="shared" si="63"/>
        <v>1.70076</v>
      </c>
      <c r="BI173" s="227">
        <f t="shared" si="64"/>
        <v>0.000787692868934712</v>
      </c>
      <c r="BJ173" s="241"/>
    </row>
    <row r="174" spans="60:62">
      <c r="BH174" s="229">
        <f t="shared" si="63"/>
        <v>1.7014</v>
      </c>
      <c r="BI174" s="227">
        <f t="shared" si="64"/>
        <v>0.000464290427745863</v>
      </c>
      <c r="BJ174" s="241"/>
    </row>
    <row r="175" spans="60:62">
      <c r="BH175" s="229">
        <f t="shared" si="63"/>
        <v>1.70204</v>
      </c>
      <c r="BI175" s="227">
        <f t="shared" si="64"/>
        <v>0.000270077709607888</v>
      </c>
      <c r="BJ175" s="241"/>
    </row>
    <row r="176" spans="60:62">
      <c r="BH176" s="229">
        <f t="shared" si="63"/>
        <v>1.70268</v>
      </c>
      <c r="BI176" s="227">
        <f t="shared" si="64"/>
        <v>0.000155043637823871</v>
      </c>
      <c r="BJ176" s="241"/>
    </row>
    <row r="177" spans="60:62">
      <c r="BH177" s="229">
        <f t="shared" si="63"/>
        <v>1.70332</v>
      </c>
      <c r="BI177" s="227">
        <f t="shared" si="64"/>
        <v>8.78385895295053e-5</v>
      </c>
      <c r="BJ177" s="241"/>
    </row>
    <row r="178" spans="60:62">
      <c r="BH178" s="229">
        <f t="shared" si="63"/>
        <v>1.70396</v>
      </c>
      <c r="BI178" s="227">
        <f t="shared" si="64"/>
        <v>4.9111472195459e-5</v>
      </c>
      <c r="BJ178" s="241"/>
    </row>
    <row r="179" spans="60:62">
      <c r="BH179" s="229">
        <f t="shared" si="63"/>
        <v>1.7046</v>
      </c>
      <c r="BI179" s="227">
        <f t="shared" si="64"/>
        <v>2.70985933838902e-5</v>
      </c>
      <c r="BJ179" s="241"/>
    </row>
    <row r="180" spans="60:62">
      <c r="BH180" s="229">
        <f t="shared" si="63"/>
        <v>1.70524</v>
      </c>
      <c r="BI180" s="227">
        <f t="shared" si="64"/>
        <v>1.4756274979917e-5</v>
      </c>
      <c r="BJ180" s="241"/>
    </row>
    <row r="181" spans="60:62">
      <c r="BH181" s="229">
        <f t="shared" si="63"/>
        <v>1.70588</v>
      </c>
      <c r="BI181" s="227">
        <f t="shared" si="64"/>
        <v>7.9299952409598e-6</v>
      </c>
      <c r="BJ181" s="241"/>
    </row>
    <row r="182" spans="60:62">
      <c r="BH182" s="242">
        <f t="shared" si="63"/>
        <v>1.70652</v>
      </c>
      <c r="BI182" s="243">
        <f t="shared" si="64"/>
        <v>4.20567113348178e-6</v>
      </c>
      <c r="BJ182" s="244"/>
    </row>
    <row r="183" spans="60:63">
      <c r="BH183" s="229">
        <f t="shared" si="63"/>
        <v>1.70716</v>
      </c>
      <c r="BI183" s="227">
        <f t="shared" si="64"/>
        <v>2.20122222133847e-6</v>
      </c>
      <c r="BJ183" s="241"/>
      <c r="BK183" s="204"/>
    </row>
    <row r="184" spans="59:63">
      <c r="BG184" s="204"/>
      <c r="BH184" s="245"/>
      <c r="BI184" s="230"/>
      <c r="BJ184" s="204"/>
      <c r="BK184" s="204"/>
    </row>
    <row r="185" spans="59:63">
      <c r="BG185" s="204"/>
      <c r="BH185" s="245"/>
      <c r="BI185" s="230"/>
      <c r="BJ185" s="204"/>
      <c r="BK185" s="204"/>
    </row>
    <row r="186" spans="59:63">
      <c r="BG186" s="204"/>
      <c r="BH186" s="245"/>
      <c r="BI186" s="230"/>
      <c r="BJ186" s="204"/>
      <c r="BK186" s="204"/>
    </row>
    <row r="187" spans="59:63">
      <c r="BG187" s="204"/>
      <c r="BH187" s="245"/>
      <c r="BI187" s="230"/>
      <c r="BJ187" s="204"/>
      <c r="BK187" s="204"/>
    </row>
    <row r="188" spans="59:63">
      <c r="BG188" s="204"/>
      <c r="BH188" s="245"/>
      <c r="BI188" s="230"/>
      <c r="BJ188" s="204"/>
      <c r="BK188" s="204"/>
    </row>
    <row r="189" spans="59:63">
      <c r="BG189" s="204"/>
      <c r="BH189" s="245"/>
      <c r="BI189" s="230"/>
      <c r="BJ189" s="204"/>
      <c r="BK189" s="204"/>
    </row>
    <row r="190" spans="59:63">
      <c r="BG190" s="204"/>
      <c r="BH190" s="245"/>
      <c r="BI190" s="230"/>
      <c r="BJ190" s="204"/>
      <c r="BK190" s="204"/>
    </row>
    <row r="191" spans="59:63">
      <c r="BG191" s="204"/>
      <c r="BH191" s="245"/>
      <c r="BI191" s="230"/>
      <c r="BJ191" s="204"/>
      <c r="BK191" s="204"/>
    </row>
    <row r="192" spans="59:63">
      <c r="BG192" s="204"/>
      <c r="BH192" s="245"/>
      <c r="BI192" s="230"/>
      <c r="BJ192" s="204"/>
      <c r="BK192" s="204"/>
    </row>
    <row r="193" spans="59:63">
      <c r="BG193" s="204"/>
      <c r="BH193" s="245"/>
      <c r="BI193" s="230"/>
      <c r="BJ193" s="204"/>
      <c r="BK193" s="204"/>
    </row>
    <row r="194" spans="59:63">
      <c r="BG194" s="204"/>
      <c r="BH194" s="245"/>
      <c r="BI194" s="230"/>
      <c r="BJ194" s="204"/>
      <c r="BK194" s="204"/>
    </row>
    <row r="195" spans="59:63">
      <c r="BG195" s="204"/>
      <c r="BH195" s="245"/>
      <c r="BI195" s="230"/>
      <c r="BJ195" s="204"/>
      <c r="BK195" s="204"/>
    </row>
    <row r="196" spans="59:63">
      <c r="BG196" s="204"/>
      <c r="BH196" s="245"/>
      <c r="BI196" s="230"/>
      <c r="BJ196" s="204"/>
      <c r="BK196" s="204"/>
    </row>
    <row r="197" spans="59:63">
      <c r="BG197" s="204"/>
      <c r="BH197" s="245"/>
      <c r="BI197" s="230"/>
      <c r="BJ197" s="204"/>
      <c r="BK197" s="204"/>
    </row>
    <row r="198" spans="59:63">
      <c r="BG198" s="204"/>
      <c r="BH198" s="245"/>
      <c r="BI198" s="230"/>
      <c r="BJ198" s="204"/>
      <c r="BK198" s="204"/>
    </row>
    <row r="199" spans="59:63">
      <c r="BG199" s="204"/>
      <c r="BH199" s="245"/>
      <c r="BI199" s="230"/>
      <c r="BJ199" s="204"/>
      <c r="BK199" s="204"/>
    </row>
    <row r="200" spans="59:63">
      <c r="BG200" s="204"/>
      <c r="BH200" s="245"/>
      <c r="BI200" s="230"/>
      <c r="BJ200" s="204"/>
      <c r="BK200" s="204"/>
    </row>
    <row r="201" spans="59:63">
      <c r="BG201" s="204"/>
      <c r="BH201" s="245"/>
      <c r="BI201" s="230"/>
      <c r="BJ201" s="204"/>
      <c r="BK201" s="204"/>
    </row>
    <row r="202" spans="59:63">
      <c r="BG202" s="204"/>
      <c r="BH202" s="204"/>
      <c r="BI202" s="204"/>
      <c r="BJ202" s="204"/>
      <c r="BK202" s="204"/>
    </row>
  </sheetData>
  <sheetProtection password="E822" sheet="1" objects="1"/>
  <mergeCells count="93">
    <mergeCell ref="B2:AA2"/>
    <mergeCell ref="C3:D3"/>
    <mergeCell ref="E3:F3"/>
    <mergeCell ref="H3:I3"/>
    <mergeCell ref="J3:K3"/>
    <mergeCell ref="L3:M3"/>
    <mergeCell ref="N3:O3"/>
    <mergeCell ref="Q3:R3"/>
    <mergeCell ref="S3:T3"/>
    <mergeCell ref="V3:W3"/>
    <mergeCell ref="X3:Y3"/>
    <mergeCell ref="Z3:AA3"/>
    <mergeCell ref="C4:D4"/>
    <mergeCell ref="E4:F4"/>
    <mergeCell ref="H4:I4"/>
    <mergeCell ref="L4:M4"/>
    <mergeCell ref="N4:O4"/>
    <mergeCell ref="Q4:R4"/>
    <mergeCell ref="S4:T4"/>
    <mergeCell ref="V4:W4"/>
    <mergeCell ref="X4:Y4"/>
    <mergeCell ref="Z4:AA4"/>
    <mergeCell ref="AE7:BD7"/>
    <mergeCell ref="BM11:BN11"/>
    <mergeCell ref="BP11:BQ11"/>
    <mergeCell ref="BS11:BT11"/>
    <mergeCell ref="B17:AA17"/>
    <mergeCell ref="V18:AA18"/>
    <mergeCell ref="AE18:BD18"/>
    <mergeCell ref="V19:W19"/>
    <mergeCell ref="BN19:BO19"/>
    <mergeCell ref="V20:W20"/>
    <mergeCell ref="V21:W21"/>
    <mergeCell ref="V22:W22"/>
    <mergeCell ref="V23:W23"/>
    <mergeCell ref="V24:W24"/>
    <mergeCell ref="V25:W25"/>
    <mergeCell ref="V26:W26"/>
    <mergeCell ref="V27:W27"/>
    <mergeCell ref="B28:AA28"/>
    <mergeCell ref="V29:AA29"/>
    <mergeCell ref="V30:W30"/>
    <mergeCell ref="AE30:AI30"/>
    <mergeCell ref="AM30:AO30"/>
    <mergeCell ref="AP30:AR30"/>
    <mergeCell ref="AU30:AW30"/>
    <mergeCell ref="V31:W31"/>
    <mergeCell ref="AP31:AR31"/>
    <mergeCell ref="AU31:AW31"/>
    <mergeCell ref="V32:W32"/>
    <mergeCell ref="AP32:AR32"/>
    <mergeCell ref="AU32:AW32"/>
    <mergeCell ref="V33:W33"/>
    <mergeCell ref="AP33:AR33"/>
    <mergeCell ref="AU33:AW33"/>
    <mergeCell ref="V34:W34"/>
    <mergeCell ref="AP34:AR34"/>
    <mergeCell ref="AU34:AW34"/>
    <mergeCell ref="V35:W35"/>
    <mergeCell ref="V36:W36"/>
    <mergeCell ref="V37:W37"/>
    <mergeCell ref="V38:W38"/>
    <mergeCell ref="B39:AA39"/>
    <mergeCell ref="G40:M40"/>
    <mergeCell ref="V40:X40"/>
    <mergeCell ref="Y40:AA40"/>
    <mergeCell ref="G41:M41"/>
    <mergeCell ref="O41:P41"/>
    <mergeCell ref="AE41:BD41"/>
    <mergeCell ref="G42:M42"/>
    <mergeCell ref="G43:M43"/>
    <mergeCell ref="G44:M44"/>
    <mergeCell ref="G45:M45"/>
    <mergeCell ref="G46:M46"/>
    <mergeCell ref="G47:M47"/>
    <mergeCell ref="G48:M48"/>
    <mergeCell ref="O48:P48"/>
    <mergeCell ref="C53:D53"/>
    <mergeCell ref="AE53:BD53"/>
    <mergeCell ref="B3:B4"/>
    <mergeCell ref="G3:G4"/>
    <mergeCell ref="P3:P4"/>
    <mergeCell ref="U3:U4"/>
    <mergeCell ref="V47:V48"/>
    <mergeCell ref="X42:X43"/>
    <mergeCell ref="X45:X46"/>
    <mergeCell ref="Z47:Z48"/>
    <mergeCell ref="AA42:AA43"/>
    <mergeCell ref="AA45:AA46"/>
    <mergeCell ref="AA47:AA48"/>
    <mergeCell ref="BM9:BT10"/>
    <mergeCell ref="W47:Y48"/>
    <mergeCell ref="R40:U48"/>
  </mergeCells>
  <conditionalFormatting sqref="W47">
    <cfRule type="cellIs" dxfId="0" priority="19" operator="equal">
      <formula>"紧急措施，要全面检讨"</formula>
    </cfRule>
  </conditionalFormatting>
  <conditionalFormatting sqref="AA47:AA48">
    <cfRule type="cellIs" dxfId="0" priority="4" operator="greaterThan">
      <formula>1</formula>
    </cfRule>
  </conditionalFormatting>
  <conditionalFormatting sqref="C6:AA13">
    <cfRule type="cellIs" dxfId="1" priority="21" operator="lessThan">
      <formula>$N$4</formula>
    </cfRule>
    <cfRule type="cellIs" dxfId="1" priority="22" operator="greaterThan">
      <formula>$N$3</formula>
    </cfRule>
  </conditionalFormatting>
  <conditionalFormatting sqref="C41:C48 E41:E48">
    <cfRule type="cellIs" dxfId="2" priority="13" operator="equal">
      <formula>0</formula>
    </cfRule>
    <cfRule type="cellIs" dxfId="0" priority="12" operator="greaterThan">
      <formula>0</formula>
    </cfRule>
  </conditionalFormatting>
  <conditionalFormatting sqref="D41:D48 F41:F48">
    <cfRule type="cellIs" dxfId="2" priority="11" operator="equal">
      <formula>"OK"</formula>
    </cfRule>
    <cfRule type="cellIs" dxfId="0" priority="10" operator="equal">
      <formula>"NG"</formula>
    </cfRule>
  </conditionalFormatting>
  <conditionalFormatting sqref="X42:X43 AA42:AA43">
    <cfRule type="cellIs" dxfId="0" priority="2" operator="greaterThan">
      <formula>0.001</formula>
    </cfRule>
  </conditionalFormatting>
  <conditionalFormatting sqref="AF43:BD50">
    <cfRule type="cellIs" dxfId="0" priority="18" operator="equal">
      <formula>"NG"</formula>
    </cfRule>
    <cfRule type="cellIs" dxfId="2" priority="9" operator="equal">
      <formula>"OK"</formula>
    </cfRule>
  </conditionalFormatting>
  <conditionalFormatting sqref="X45:X46 AA45:AA46">
    <cfRule type="cellIs" dxfId="0" priority="7" operator="equal">
      <formula>"D"</formula>
    </cfRule>
    <cfRule type="cellIs" dxfId="0" priority="6" operator="equal">
      <formula>"C"</formula>
    </cfRule>
  </conditionalFormatting>
  <conditionalFormatting sqref="W46 Z46">
    <cfRule type="cellIs" dxfId="0" priority="1" operator="lessThan">
      <formula>1</formula>
    </cfRule>
  </conditionalFormatting>
  <conditionalFormatting sqref="E54:F61">
    <cfRule type="expression" dxfId="3" priority="23" stopIfTrue="1">
      <formula>E54&gt;0</formula>
    </cfRule>
  </conditionalFormatting>
  <conditionalFormatting sqref="AF55:BD62">
    <cfRule type="cellIs" dxfId="0" priority="17" operator="equal">
      <formula>"NG"</formula>
    </cfRule>
    <cfRule type="cellIs" dxfId="2" priority="8" operator="equal">
      <formula>"OK"</formula>
    </cfRule>
  </conditionalFormatting>
  <dataValidations count="5">
    <dataValidation type="list" allowBlank="1" showInputMessage="1" showErrorMessage="1" sqref="G55 G61">
      <formula1>"7,8,9"</formula1>
    </dataValidation>
    <dataValidation type="list" allowBlank="1" showInputMessage="1" showErrorMessage="1" sqref="G56">
      <formula1>"5,6,7,8"</formula1>
    </dataValidation>
    <dataValidation type="list" allowBlank="1" showInputMessage="1" showErrorMessage="1" sqref="G57">
      <formula1>"13,14,15"</formula1>
    </dataValidation>
    <dataValidation type="list" allowBlank="1" showInputMessage="1" showErrorMessage="1" sqref="G60">
      <formula1>"14,15,16"</formula1>
    </dataValidation>
    <dataValidation type="list" allowBlank="1" showInputMessage="1" showErrorMessage="1" sqref="C54:C61">
      <formula1>"√,×"</formula1>
    </dataValidation>
  </dataValidations>
  <printOptions horizontalCentered="1" verticalCentered="1"/>
  <pageMargins left="0.0784722222222222" right="0.0784722222222222" top="0.0784722222222222" bottom="0.0784722222222222" header="0" footer="0"/>
  <pageSetup paperSize="9" scale="63" orientation="landscape" horizontalDpi="600" verticalDpi="180"/>
  <headerFooter alignWithMargins="0"/>
  <ignoredErrors>
    <ignoredError sqref="E41:E48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X-R控制图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落叶</cp:lastModifiedBy>
  <dcterms:created xsi:type="dcterms:W3CDTF">1996-12-17T01:32:00Z</dcterms:created>
  <cp:lastPrinted>2021-06-29T01:16:00Z</cp:lastPrinted>
  <dcterms:modified xsi:type="dcterms:W3CDTF">2025-10-22T11:40:01Z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2052-12.8.2.21177</vt:lpwstr>
  </property>
  <property fmtid="{D5CDD505-2E9C-101B-9397-08002B2CF9AE}" pid="3" name="ICV">
    <vt:lpwstr>04CAD53AAED144DA961F1EB36130D63C</vt:lpwstr>
  </property>
</Properties>
</file>